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368" firstSheet="1" activeTab="2"/>
  </bookViews>
  <sheets>
    <sheet name="S1. Selected data" sheetId="1" state="hidden" r:id="rId1"/>
    <sheet name="MFI_Access &amp; Usage" sheetId="2" r:id="rId2"/>
    <sheet name="MFI_Sectoral Loans" sheetId="3" r:id="rId3"/>
    <sheet name="FSIs" sheetId="4" state="hidden" r:id="rId4"/>
    <sheet name="Sheet1" sheetId="5" state="hidden" r:id="rId5"/>
  </sheets>
  <externalReferences>
    <externalReference r:id="rId8"/>
  </externalReferences>
  <definedNames>
    <definedName name="_xlfn.AGGREGATE" hidden="1">#NAME?</definedName>
    <definedName name="Beg_Bal" localSheetId="1">#REF!</definedName>
    <definedName name="Beg_Bal" localSheetId="2">#REF!</definedName>
    <definedName name="Beg_Bal" localSheetId="0">#REF!</definedName>
    <definedName name="Beg_Bal">#REF!</definedName>
    <definedName name="Cum_Int" localSheetId="1">#REF!</definedName>
    <definedName name="Cum_Int" localSheetId="2">#REF!</definedName>
    <definedName name="Cum_Int" localSheetId="0">#REF!</definedName>
    <definedName name="Cum_Int">#REF!</definedName>
    <definedName name="Data" localSheetId="1">#REF!</definedName>
    <definedName name="Data" localSheetId="2">#REF!</definedName>
    <definedName name="Data" localSheetId="0">#REF!</definedName>
    <definedName name="Data">#REF!</definedName>
    <definedName name="End_Bal" localSheetId="1">#REF!</definedName>
    <definedName name="End_Bal" localSheetId="2">#REF!</definedName>
    <definedName name="End_Bal" localSheetId="0">#REF!</definedName>
    <definedName name="End_Bal">#REF!</definedName>
    <definedName name="Extra_Pay" localSheetId="1">#REF!</definedName>
    <definedName name="Extra_Pay" localSheetId="2">#REF!</definedName>
    <definedName name="Extra_Pay" localSheetId="0">#REF!</definedName>
    <definedName name="Extra_Pay">#REF!</definedName>
    <definedName name="Full_Print" localSheetId="1">#REF!</definedName>
    <definedName name="Full_Print" localSheetId="2">#REF!</definedName>
    <definedName name="Full_Print" localSheetId="0">#REF!</definedName>
    <definedName name="Full_Print">#REF!</definedName>
    <definedName name="Header_Row" localSheetId="1">ROW(#REF!)</definedName>
    <definedName name="Header_Row" localSheetId="2">ROW(#REF!)</definedName>
    <definedName name="Header_Row" localSheetId="0">ROW(#REF!)</definedName>
    <definedName name="Header_Row">ROW(#REF!)</definedName>
    <definedName name="Int" localSheetId="1">#REF!</definedName>
    <definedName name="Int" localSheetId="2">#REF!</definedName>
    <definedName name="Int" localSheetId="0">#REF!</definedName>
    <definedName name="Int">#REF!</definedName>
    <definedName name="Interest_Rate" localSheetId="1">#REF!</definedName>
    <definedName name="Interest_Rate" localSheetId="2">#REF!</definedName>
    <definedName name="Interest_Rate" localSheetId="0">#REF!</definedName>
    <definedName name="Interest_Rate">#REF!</definedName>
    <definedName name="Last_Row" localSheetId="1">IF('MFI_Access &amp; Usage'!Values_Entered,'MFI_Access &amp; Usage'!Header_Row+'MFI_Access &amp; Usage'!Number_of_Payments,'MFI_Access &amp; Usage'!Header_Row)</definedName>
    <definedName name="Last_Row" localSheetId="2">IF('MFI_Sectoral Loans'!Values_Entered,'MFI_Sectoral Loans'!Header_Row+'MFI_Sectoral Loans'!Number_of_Payments,'MFI_Sectoral Loans'!Header_Row)</definedName>
    <definedName name="Last_Row" localSheetId="0">IF('S1. Selected data'!Values_Entered,'S1. Selected data'!Header_Row+'S1. Selected data'!Number_of_Payments,'S1. Selected data'!Header_Row)</definedName>
    <definedName name="Last_Row">IF(Values_Entered,Header_Row+Number_of_Payments,Header_Row)</definedName>
    <definedName name="Loan_Amount" localSheetId="1">#REF!</definedName>
    <definedName name="Loan_Amount" localSheetId="2">#REF!</definedName>
    <definedName name="Loan_Amount" localSheetId="0">#REF!</definedName>
    <definedName name="Loan_Amount">#REF!</definedName>
    <definedName name="Loan_Start" localSheetId="1">#REF!</definedName>
    <definedName name="Loan_Start" localSheetId="2">#REF!</definedName>
    <definedName name="Loan_Start" localSheetId="0">#REF!</definedName>
    <definedName name="Loan_Start">#REF!</definedName>
    <definedName name="Loan_Years" localSheetId="1">#REF!</definedName>
    <definedName name="Loan_Years" localSheetId="2">#REF!</definedName>
    <definedName name="Loan_Years" localSheetId="0">#REF!</definedName>
    <definedName name="Loan_Years">#REF!</definedName>
    <definedName name="Num_Pmt_Per_Year" localSheetId="1">#REF!</definedName>
    <definedName name="Num_Pmt_Per_Year" localSheetId="2">#REF!</definedName>
    <definedName name="Num_Pmt_Per_Year" localSheetId="0">#REF!</definedName>
    <definedName name="Num_Pmt_Per_Year">#REF!</definedName>
    <definedName name="Number_of_Payments" localSheetId="1">MATCH(0.01,'MFI_Access &amp; Usage'!End_Bal,-1)+1</definedName>
    <definedName name="Number_of_Payments" localSheetId="2">MATCH(0.01,'MFI_Sectoral Loans'!End_Bal,-1)+1</definedName>
    <definedName name="Number_of_Payments" localSheetId="0">MATCH(0.01,'S1. Selected data'!End_Bal,-1)+1</definedName>
    <definedName name="Number_of_Payments">MATCH(0.01,End_Bal,-1)+1</definedName>
    <definedName name="out" localSheetId="1">IF('MFI_Access &amp; Usage'!Values_Entered,'MFI_Access &amp; Usage'!Header_Row+'MFI_Access &amp; Usage'!Number_of_Payments,'MFI_Access &amp; Usage'!Header_Row)</definedName>
    <definedName name="out" localSheetId="2">IF('MFI_Sectoral Loans'!Values_Entered,'MFI_Sectoral Loans'!Header_Row+'MFI_Sectoral Loans'!Number_of_Payments,'MFI_Sectoral Loans'!Header_Row)</definedName>
    <definedName name="out" localSheetId="0">IF('S1. Selected data'!Values_Entered,'S1. Selected data'!Header_Row+'S1. Selected data'!Number_of_Payments,'S1. Selected data'!Header_Row)</definedName>
    <definedName name="out">IF(Values_Entered,Header_Row+Number_of_Payments,Header_Row)</definedName>
    <definedName name="Pay_Date" localSheetId="1">#REF!</definedName>
    <definedName name="Pay_Date" localSheetId="2">#REF!</definedName>
    <definedName name="Pay_Date" localSheetId="0">#REF!</definedName>
    <definedName name="Pay_Date">#REF!</definedName>
    <definedName name="Pay_Num" localSheetId="1">#REF!</definedName>
    <definedName name="Pay_Num" localSheetId="2">#REF!</definedName>
    <definedName name="Pay_Num" localSheetId="0">#REF!</definedName>
    <definedName name="Pay_Num">#REF!</definedName>
    <definedName name="Payment_Date" localSheetId="1">DATE(YEAR('MFI_Access &amp; Usage'!Loan_Start),MONTH('MFI_Access &amp; Usage'!Loan_Start)+Payment_Number,DAY('MFI_Access &amp; Usage'!Loan_Start))</definedName>
    <definedName name="Payment_Date" localSheetId="2">DATE(YEAR('MFI_Sectoral Loans'!Loan_Start),MONTH('MFI_Sectoral Loans'!Loan_Start)+Payment_Number,DAY('MFI_Sectoral Loans'!Loan_Start))</definedName>
    <definedName name="Payment_Date" localSheetId="0">DATE(YEAR('S1. Selected data'!Loan_Start),MONTH('S1. Selected data'!Loan_Start)+Payment_Number,DAY('S1. Selected data'!Loan_Start))</definedName>
    <definedName name="Payment_Date">DATE(YEAR(Loan_Start),MONTH(Loan_Start)+Payment_Number,DAY(Loan_Start))</definedName>
    <definedName name="Princ" localSheetId="1">#REF!</definedName>
    <definedName name="Princ" localSheetId="2">#REF!</definedName>
    <definedName name="Princ" localSheetId="0">#REF!</definedName>
    <definedName name="Princ">#REF!</definedName>
    <definedName name="Print_Area_Reset" localSheetId="1">OFFSET('MFI_Access &amp; Usage'!Full_Print,0,0,'MFI_Access &amp; Usage'!Last_Row)</definedName>
    <definedName name="Print_Area_Reset" localSheetId="2">OFFSET('MFI_Sectoral Loans'!Full_Print,0,0,'MFI_Sectoral Loans'!Last_Row)</definedName>
    <definedName name="Print_Area_Reset" localSheetId="0">OFFSET('S1. Selected data'!Full_Print,0,0,'S1. Selected data'!Last_Row)</definedName>
    <definedName name="Print_Area_Reset">OFFSET(Full_Print,0,0,Last_Row)</definedName>
    <definedName name="Sched_Pay" localSheetId="1">#REF!</definedName>
    <definedName name="Sched_Pay" localSheetId="2">#REF!</definedName>
    <definedName name="Sched_Pay" localSheetId="0">#REF!</definedName>
    <definedName name="Sched_Pay">#REF!</definedName>
    <definedName name="Scheduled_Extra_Payments" localSheetId="1">#REF!</definedName>
    <definedName name="Scheduled_Extra_Payments" localSheetId="2">#REF!</definedName>
    <definedName name="Scheduled_Extra_Payments" localSheetId="0">#REF!</definedName>
    <definedName name="Scheduled_Extra_Payments">#REF!</definedName>
    <definedName name="Scheduled_Interest_Rate" localSheetId="1">#REF!</definedName>
    <definedName name="Scheduled_Interest_Rate" localSheetId="2">#REF!</definedName>
    <definedName name="Scheduled_Interest_Rate" localSheetId="0">#REF!</definedName>
    <definedName name="Scheduled_Interest_Rate">#REF!</definedName>
    <definedName name="Scheduled_Monthly_Payment" localSheetId="1">#REF!</definedName>
    <definedName name="Scheduled_Monthly_Payment" localSheetId="2">#REF!</definedName>
    <definedName name="Scheduled_Monthly_Payment" localSheetId="0">#REF!</definedName>
    <definedName name="Scheduled_Monthly_Payment">#REF!</definedName>
    <definedName name="Total_Interest" localSheetId="1">#REF!</definedName>
    <definedName name="Total_Interest" localSheetId="2">#REF!</definedName>
    <definedName name="Total_Interest" localSheetId="0">#REF!</definedName>
    <definedName name="Total_Interest">#REF!</definedName>
    <definedName name="Total_Pay" localSheetId="1">#REF!</definedName>
    <definedName name="Total_Pay" localSheetId="2">#REF!</definedName>
    <definedName name="Total_Pay" localSheetId="0">#REF!</definedName>
    <definedName name="Total_Pay">#REF!</definedName>
    <definedName name="Values_Entered" localSheetId="1">IF('MFI_Access &amp; Usage'!Loan_Amount*'MFI_Access &amp; Usage'!Interest_Rate*'MFI_Access &amp; Usage'!Loan_Years*'MFI_Access &amp; Usage'!Loan_Start&gt;0,1,0)</definedName>
    <definedName name="Values_Entered" localSheetId="2">IF('MFI_Sectoral Loans'!Loan_Amount*'MFI_Sectoral Loans'!Interest_Rate*'MFI_Sectoral Loans'!Loan_Years*'MFI_Sectoral Loans'!Loan_Start&gt;0,1,0)</definedName>
    <definedName name="Values_Entered" localSheetId="0">IF('S1. Selected data'!Loan_Amount*'S1. Selected data'!Interest_Rate*'S1. Selected data'!Loan_Years*'S1. Selected data'!Loan_Start&gt;0,1,0)</definedName>
    <definedName name="Values_Entered">IF(Loan_Amount*Interest_Rate*Loan_Years*Loan_Start&gt;0,1,0)</definedName>
    <definedName name="vDateTime" localSheetId="1">#REF!</definedName>
    <definedName name="vDateTime" localSheetId="2">#REF!</definedName>
    <definedName name="vDateTime" localSheetId="0">#REF!</definedName>
    <definedName name="vDateTime">#REF!</definedName>
    <definedName name="vDiastolic" localSheetId="1">#REF!</definedName>
    <definedName name="vDiastolic" localSheetId="2">#REF!</definedName>
    <definedName name="vDiastolic" localSheetId="0">#REF!</definedName>
    <definedName name="vDiastolic">#REF!</definedName>
    <definedName name="vHeartRate" localSheetId="1">#REF!</definedName>
    <definedName name="vHeartRate" localSheetId="2">#REF!</definedName>
    <definedName name="vHeartRate" localSheetId="0">#REF!</definedName>
    <definedName name="vHeartRate">#REF!</definedName>
    <definedName name="vSystolic" localSheetId="1">#REF!</definedName>
    <definedName name="vSystolic" localSheetId="2">#REF!</definedName>
    <definedName name="vSystolic" localSheetId="0">#REF!</definedName>
    <definedName name="vSystolic">#REF!</definedName>
  </definedNames>
  <calcPr fullCalcOnLoad="1"/>
</workbook>
</file>

<file path=xl/sharedStrings.xml><?xml version="1.0" encoding="utf-8"?>
<sst xmlns="http://schemas.openxmlformats.org/spreadsheetml/2006/main" count="154" uniqueCount="93">
  <si>
    <t>Total Assets</t>
  </si>
  <si>
    <t>Total Deposits</t>
  </si>
  <si>
    <t>MFIs+USACCOs</t>
  </si>
  <si>
    <t>Females</t>
  </si>
  <si>
    <t>Males</t>
  </si>
  <si>
    <t>Groups/entities</t>
  </si>
  <si>
    <t>UMURENGE SACCOs</t>
  </si>
  <si>
    <t>Number of Accounts</t>
  </si>
  <si>
    <t>TOTAL</t>
  </si>
  <si>
    <t xml:space="preserve">Agriculture, Livestock, Fishing </t>
  </si>
  <si>
    <t xml:space="preserve">Public Works (Construction), Buildings, Residences/Homes </t>
  </si>
  <si>
    <t xml:space="preserve">Commerce, Restaurants, Hotels </t>
  </si>
  <si>
    <t xml:space="preserve">Transport, Warehouses, Communications </t>
  </si>
  <si>
    <t xml:space="preserve">Others </t>
  </si>
  <si>
    <t>Number of MFIs</t>
  </si>
  <si>
    <t>Province</t>
  </si>
  <si>
    <t>Kigali City</t>
  </si>
  <si>
    <t>Northern</t>
  </si>
  <si>
    <t>Southern</t>
  </si>
  <si>
    <t>Eastern</t>
  </si>
  <si>
    <t>Western</t>
  </si>
  <si>
    <t>Gross loan</t>
  </si>
  <si>
    <t>Non-Performing Loans (NPLs)</t>
  </si>
  <si>
    <t>Microfinance</t>
  </si>
  <si>
    <t>NPLs ratio (in %)</t>
  </si>
  <si>
    <t>Annual Growth of Loans</t>
  </si>
  <si>
    <t>Annual Growth of NPLs</t>
  </si>
  <si>
    <t>Annual Growth</t>
  </si>
  <si>
    <t>Total Assets (Billion FRW)</t>
  </si>
  <si>
    <t>Annual Assets Growth</t>
  </si>
  <si>
    <t>Table 1. Evolution of Microfinance Institutions</t>
  </si>
  <si>
    <t>Table 2. Number of accounts opened in UMURENGE SACCOs by provinces</t>
  </si>
  <si>
    <t>Table 3. Number of accounts opened in all MFIs (in Thousands)</t>
  </si>
  <si>
    <t>Table 4. Trend of Non-performing Loans (In Billion FRW)</t>
  </si>
  <si>
    <t xml:space="preserve">Gross Loans </t>
  </si>
  <si>
    <t>Net Equity</t>
  </si>
  <si>
    <t>Table 5. Microfinance Sector (in Billion Frw)</t>
  </si>
  <si>
    <t>Table 6. Number of staff working in MFIs (UMURENGE SACCOs included)</t>
  </si>
  <si>
    <t>Gender</t>
  </si>
  <si>
    <t>FINANCIAL SOUNDNESS INDICATORS</t>
  </si>
  <si>
    <t>Capital Adequacy (%)</t>
  </si>
  <si>
    <t>Asset quality (%)</t>
  </si>
  <si>
    <t>NPLs to total gross loans</t>
  </si>
  <si>
    <t>NPLs to total deposits</t>
  </si>
  <si>
    <t>Earning assets to total assets</t>
  </si>
  <si>
    <t>Earnings &amp; profitability (%)</t>
  </si>
  <si>
    <t>Return on assets</t>
  </si>
  <si>
    <t>Return on equity</t>
  </si>
  <si>
    <t>Cost to income</t>
  </si>
  <si>
    <t>Overhead to income</t>
  </si>
  <si>
    <t>Liquidity (%)</t>
  </si>
  <si>
    <t>Short term gap</t>
  </si>
  <si>
    <t>Liquid assets to total deposits</t>
  </si>
  <si>
    <t>Liquid assets to total assets</t>
  </si>
  <si>
    <t>Total Equity (Net) to total assets</t>
  </si>
  <si>
    <t>Provisions/NPLs</t>
  </si>
  <si>
    <t>Loans to total deposits</t>
  </si>
  <si>
    <t>Source: MFSD</t>
  </si>
  <si>
    <t>Liquid assets to Current deposits (Quick-ratio)</t>
  </si>
  <si>
    <t>Other MFIs (Ltd+Non-Umurenge SACCOs)</t>
  </si>
  <si>
    <t>Number of Deposit Accounts</t>
  </si>
  <si>
    <t>U-SACCOs</t>
  </si>
  <si>
    <t>Other SACCOs</t>
  </si>
  <si>
    <t>Men</t>
  </si>
  <si>
    <t>Women</t>
  </si>
  <si>
    <t>Group&amp;Entities</t>
  </si>
  <si>
    <t>Number of members fully paid share</t>
  </si>
  <si>
    <t>Number of members</t>
  </si>
  <si>
    <t>No. of Deposit A/C</t>
  </si>
  <si>
    <t>No. of Members</t>
  </si>
  <si>
    <t>Category</t>
  </si>
  <si>
    <t>Table 02. Number of Loans and Deposit-Accounts (In Thousands) in UMURENGE SACCOs</t>
  </si>
  <si>
    <t>Number of Accounts Owned by:</t>
  </si>
  <si>
    <t>UMURENGE SACCOs (Amount in Billions FRW)</t>
  </si>
  <si>
    <t>Other MFIs (Amount in Billions FRW)</t>
  </si>
  <si>
    <t>NATIONAL BANK OF RWANDA</t>
  </si>
  <si>
    <t>MFIs SECTORAL LOANS</t>
  </si>
  <si>
    <t>DEPOSIT ACCOUNTS &amp; OUTSTANDING LOANS IN MFIs</t>
  </si>
  <si>
    <t xml:space="preserve">                                                                                                                                                                       Total Microfinance Sector (Amount in Billions FRW)</t>
  </si>
  <si>
    <t>Dec-19</t>
  </si>
  <si>
    <t>Number of loans acconts</t>
  </si>
  <si>
    <t>Number of loans accounts</t>
  </si>
  <si>
    <t>Table 01. Number of Loans and Deposit-Accounts (In Thousands) MFIs+U-SACCOs</t>
  </si>
  <si>
    <t>Table 03. Number of Loans and Deposit-Accounts (In Thousands) in all non-UMURENGE SACCOs</t>
  </si>
  <si>
    <t>FINANCIAL SECTOR  DEVELOPMENT &amp;  INCLUSION DEPARTMENT</t>
  </si>
  <si>
    <t>Loans by Sector (Amount in Billions FRW)</t>
  </si>
  <si>
    <t>Sector</t>
  </si>
  <si>
    <t xml:space="preserve"> Sector</t>
  </si>
  <si>
    <t>LOANS BY ECONOMIC SECTOR : Ltd and SACCOs (Umurenge SACCOs excluded)</t>
  </si>
  <si>
    <t>LOANS BY ECONOMIC SECTOR : UMURENGE SACCOs</t>
  </si>
  <si>
    <t>LOANS BY ECONOMIC SECTOR : MICROFINANCE SECTOR</t>
  </si>
  <si>
    <t>FINANCIAL SECTOR DEVELOPMENT &amp; INCLUSION DEPARTMENT</t>
  </si>
  <si>
    <t>n</t>
  </si>
</sst>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%"/>
    <numFmt numFmtId="173" formatCode="_(* #,##0.0_);_(* \(#,##0.0\);_(* &quot;-&quot;??_);_(@_)"/>
    <numFmt numFmtId="174" formatCode="_(* #,##0.000_);_(* \(#,##0.000\);_(* &quot;-&quot;??_);_(@_)"/>
    <numFmt numFmtId="175" formatCode="_(* #,##0_);_(* \(#,##0\);_(* &quot;-&quot;??_);_(@_)"/>
    <numFmt numFmtId="176" formatCode="mmm\-yyyy"/>
    <numFmt numFmtId="177" formatCode="[$-809]dd\ mmmm\ yyyy;@"/>
    <numFmt numFmtId="178" formatCode="&quot;Vrai&quot;;&quot;Vrai&quot;;&quot;Faux&quot;"/>
    <numFmt numFmtId="179" formatCode="_-* #,##0.00\ _€_-;\-* #,##0.00\ _€_-;_-* &quot;-&quot;??\ _€_-;_-@_-"/>
    <numFmt numFmtId="180" formatCode="#,##0&quot;   &quot;;[Red]\-#,##0&quot;   &quot;"/>
    <numFmt numFmtId="181" formatCode="#,##0.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0"/>
    <numFmt numFmtId="187" formatCode="0.0"/>
    <numFmt numFmtId="188" formatCode="[$-409]dddd\,\ mmmm\ dd\,\ yyyy"/>
    <numFmt numFmtId="189" formatCode="[$-409]h:mm:ss\ AM/PM"/>
    <numFmt numFmtId="190" formatCode="_(* #,##0.0_);_(* \(#,##0.0\);_(* &quot;-&quot;?_);_(@_)"/>
    <numFmt numFmtId="191" formatCode="[$-409]dd\-mmm\-yy;@"/>
    <numFmt numFmtId="192" formatCode="0.00000"/>
    <numFmt numFmtId="193" formatCode="0.0000"/>
    <numFmt numFmtId="194" formatCode="0.000"/>
    <numFmt numFmtId="195" formatCode="0.00000000"/>
    <numFmt numFmtId="196" formatCode="0.0000000"/>
    <numFmt numFmtId="197" formatCode="0.000000"/>
    <numFmt numFmtId="198" formatCode="_(&quot;$&quot;* #,##0.0_);_(&quot;$&quot;* \(#,##0.0\);_(&quot;$&quot;* &quot;-&quot;??_);_(@_)"/>
    <numFmt numFmtId="199" formatCode="_(&quot;$&quot;* #,##0_);_(&quot;$&quot;* \(#,##0\);_(&quot;$&quot;* &quot;-&quot;??_);_(@_)"/>
    <numFmt numFmtId="200" formatCode="#,##0.0_);[Red]\(#,##0.0\)"/>
    <numFmt numFmtId="201" formatCode="[$-409]mmm\-yy;@"/>
    <numFmt numFmtId="202" formatCode="#,##0.0_);\(#,##0.0\)"/>
    <numFmt numFmtId="203" formatCode="_(* #,##0.0000_);_(* \(#,##0.0000\);_(* &quot;-&quot;??_);_(@_)"/>
    <numFmt numFmtId="204" formatCode="0.000%"/>
    <numFmt numFmtId="205" formatCode="_(* #,##0.00000_);_(* \(#,##0.00000\);_(* &quot;-&quot;??_);_(@_)"/>
    <numFmt numFmtId="206" formatCode="_(* #,##0.000000_);_(* \(#,##0.000000\);_(* &quot;-&quot;??_);_(@_)"/>
    <numFmt numFmtId="207" formatCode="_(* #,##0.0000000_);_(* \(#,##0.0000000\);_(* &quot;-&quot;??_);_(@_)"/>
    <numFmt numFmtId="208" formatCode="0E+00"/>
    <numFmt numFmtId="209" formatCode="0.0E+00"/>
    <numFmt numFmtId="210" formatCode="[$-409]d\-mmm\-yyyy;@"/>
    <numFmt numFmtId="211" formatCode="[$-409]dddd\,\ mmmm\ d\,\ yyyy"/>
    <numFmt numFmtId="212" formatCode="\ #,##0&quot;    &quot;;\-#,##0&quot;    &quot;;&quot; -&quot;#&quot;    &quot;;@\ "/>
    <numFmt numFmtId="213" formatCode="_-* #,##0_-;\-* #,##0_-;_-* &quot;-&quot;??_-;_-@_-"/>
    <numFmt numFmtId="214" formatCode="#,##0_ ;\-#,##0\ "/>
    <numFmt numFmtId="215" formatCode="[$-409]hh:mm:ss\ AM/PM"/>
    <numFmt numFmtId="216" formatCode="_-* #,##0.0_-;\-* #,##0.0_-;_-* &quot;-&quot;??_-;_-@_-"/>
  </numFmts>
  <fonts count="123">
    <font>
      <sz val="10"/>
      <color theme="1"/>
      <name val="Times New Roma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2"/>
      <color indexed="9"/>
      <name val="Arial"/>
      <family val="2"/>
    </font>
    <font>
      <b/>
      <sz val="8"/>
      <color indexed="9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12"/>
      <name val="Garamond"/>
      <family val="1"/>
    </font>
    <font>
      <b/>
      <sz val="12"/>
      <color indexed="9"/>
      <name val="Garamond"/>
      <family val="1"/>
    </font>
    <font>
      <sz val="12"/>
      <name val="Garamond"/>
      <family val="1"/>
    </font>
    <font>
      <sz val="10"/>
      <name val="BentonSans Book"/>
      <family val="3"/>
    </font>
    <font>
      <sz val="10"/>
      <name val="Verdana"/>
      <family val="2"/>
    </font>
    <font>
      <b/>
      <sz val="10"/>
      <name val="Bookman Old Style"/>
      <family val="1"/>
    </font>
    <font>
      <sz val="11"/>
      <name val="BentonSans Book"/>
      <family val="3"/>
    </font>
    <font>
      <sz val="11"/>
      <name val="BentonSans Bold"/>
      <family val="3"/>
    </font>
    <font>
      <b/>
      <sz val="11"/>
      <name val="BentonSans Book"/>
      <family val="3"/>
    </font>
    <font>
      <sz val="10"/>
      <color indexed="8"/>
      <name val="Times New Roman"/>
      <family val="2"/>
    </font>
    <font>
      <sz val="11"/>
      <color indexed="8"/>
      <name val="Agency FB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52"/>
      <name val="Agency FB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u val="single"/>
      <sz val="10"/>
      <color indexed="20"/>
      <name val="Times New Roman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2"/>
      <name val="Agency FB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8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14"/>
      <color indexed="8"/>
      <name val="Tekton Pro Ext"/>
      <family val="2"/>
    </font>
    <font>
      <b/>
      <sz val="10"/>
      <color indexed="56"/>
      <name val="Times New Roman"/>
      <family val="1"/>
    </font>
    <font>
      <b/>
      <sz val="9"/>
      <color indexed="8"/>
      <name val="Times New Roman"/>
      <family val="1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16"/>
      <color indexed="56"/>
      <name val="Calibri"/>
      <family val="2"/>
    </font>
    <font>
      <sz val="12"/>
      <color indexed="8"/>
      <name val="Garamond"/>
      <family val="1"/>
    </font>
    <font>
      <b/>
      <u val="single"/>
      <sz val="12"/>
      <color indexed="12"/>
      <name val="Garamond"/>
      <family val="1"/>
    </font>
    <font>
      <b/>
      <sz val="10"/>
      <color indexed="30"/>
      <name val="Times New Roman"/>
      <family val="2"/>
    </font>
    <font>
      <b/>
      <sz val="12"/>
      <color indexed="30"/>
      <name val="Garamond"/>
      <family val="1"/>
    </font>
    <font>
      <sz val="10"/>
      <color indexed="8"/>
      <name val="Bookman Old Style"/>
      <family val="1"/>
    </font>
    <font>
      <b/>
      <sz val="10"/>
      <color indexed="8"/>
      <name val="Bookman Old Style"/>
      <family val="1"/>
    </font>
    <font>
      <b/>
      <sz val="10"/>
      <color indexed="8"/>
      <name val="BentonSans Book"/>
      <family val="3"/>
    </font>
    <font>
      <b/>
      <sz val="10"/>
      <color indexed="8"/>
      <name val="BentonSans Bold"/>
      <family val="3"/>
    </font>
    <font>
      <sz val="10"/>
      <color indexed="8"/>
      <name val="BentonSans Book"/>
      <family val="3"/>
    </font>
    <font>
      <b/>
      <sz val="10"/>
      <color indexed="30"/>
      <name val="BentonSans Book"/>
      <family val="3"/>
    </font>
    <font>
      <b/>
      <sz val="11"/>
      <color indexed="8"/>
      <name val="BentonSans Book"/>
      <family val="3"/>
    </font>
    <font>
      <sz val="11"/>
      <color indexed="8"/>
      <name val="BentonSans Book"/>
      <family val="3"/>
    </font>
    <font>
      <b/>
      <sz val="11"/>
      <color indexed="30"/>
      <name val="BentonSans Book"/>
      <family val="3"/>
    </font>
    <font>
      <b/>
      <sz val="11"/>
      <color indexed="53"/>
      <name val="BentonSans Book"/>
      <family val="3"/>
    </font>
    <font>
      <sz val="10"/>
      <color indexed="9"/>
      <name val="Verdana"/>
      <family val="2"/>
    </font>
    <font>
      <sz val="10"/>
      <color indexed="8"/>
      <name val="BentonSans Regular"/>
      <family val="3"/>
    </font>
    <font>
      <b/>
      <sz val="10"/>
      <color indexed="8"/>
      <name val="BentonSans Regular"/>
      <family val="3"/>
    </font>
    <font>
      <sz val="10"/>
      <color indexed="8"/>
      <name val="BentonSans Black"/>
      <family val="3"/>
    </font>
    <font>
      <sz val="10"/>
      <color indexed="10"/>
      <name val="BentonSans Book"/>
      <family val="3"/>
    </font>
    <font>
      <sz val="11"/>
      <color theme="1"/>
      <name val="Calibri"/>
      <family val="2"/>
    </font>
    <font>
      <sz val="11"/>
      <color theme="1"/>
      <name val="Agency FB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rgb="FFFA7D00"/>
      <name val="Agency FB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i/>
      <sz val="11"/>
      <color rgb="FF7F7F7F"/>
      <name val="Calibri"/>
      <family val="2"/>
    </font>
    <font>
      <u val="single"/>
      <sz val="10"/>
      <color theme="11"/>
      <name val="Times New Roman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3F3F76"/>
      <name val="Agency FB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theme="1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imes New Roman"/>
      <family val="1"/>
    </font>
    <font>
      <sz val="14"/>
      <color theme="1"/>
      <name val="Tekton Pro Ext"/>
      <family val="2"/>
    </font>
    <font>
      <b/>
      <sz val="10"/>
      <color rgb="FF002060"/>
      <name val="Times New Roman"/>
      <family val="1"/>
    </font>
    <font>
      <b/>
      <sz val="9"/>
      <color theme="1"/>
      <name val="Times New Roman"/>
      <family val="1"/>
    </font>
    <font>
      <sz val="16"/>
      <color rgb="FF000000"/>
      <name val="Calibri"/>
      <family val="2"/>
    </font>
    <font>
      <b/>
      <sz val="16"/>
      <color rgb="FF000000"/>
      <name val="Calibri"/>
      <family val="2"/>
    </font>
    <font>
      <b/>
      <sz val="16"/>
      <color rgb="FF002060"/>
      <name val="Calibri"/>
      <family val="2"/>
    </font>
    <font>
      <sz val="12"/>
      <color theme="1"/>
      <name val="Garamond"/>
      <family val="1"/>
    </font>
    <font>
      <b/>
      <u val="single"/>
      <sz val="12"/>
      <color theme="10"/>
      <name val="Garamond"/>
      <family val="1"/>
    </font>
    <font>
      <b/>
      <sz val="10"/>
      <color rgb="FF0033CC"/>
      <name val="Times New Roman"/>
      <family val="2"/>
    </font>
    <font>
      <b/>
      <sz val="12"/>
      <color rgb="FF0033CC"/>
      <name val="Garamond"/>
      <family val="1"/>
    </font>
    <font>
      <sz val="10"/>
      <color theme="1"/>
      <name val="Bookman Old Style"/>
      <family val="1"/>
    </font>
    <font>
      <b/>
      <sz val="10"/>
      <color theme="1"/>
      <name val="Bookman Old Style"/>
      <family val="1"/>
    </font>
    <font>
      <b/>
      <sz val="10"/>
      <color theme="1"/>
      <name val="BentonSans Book"/>
      <family val="3"/>
    </font>
    <font>
      <b/>
      <sz val="10"/>
      <color theme="1"/>
      <name val="BentonSans Bold"/>
      <family val="3"/>
    </font>
    <font>
      <sz val="10"/>
      <color theme="1"/>
      <name val="BentonSans Book"/>
      <family val="3"/>
    </font>
    <font>
      <b/>
      <sz val="10"/>
      <color rgb="FF0070C0"/>
      <name val="BentonSans Book"/>
      <family val="3"/>
    </font>
    <font>
      <b/>
      <sz val="11"/>
      <color theme="1"/>
      <name val="BentonSans Book"/>
      <family val="3"/>
    </font>
    <font>
      <sz val="11"/>
      <color theme="1"/>
      <name val="BentonSans Book"/>
      <family val="3"/>
    </font>
    <font>
      <b/>
      <sz val="11"/>
      <color rgb="FF0070C0"/>
      <name val="BentonSans Book"/>
      <family val="3"/>
    </font>
    <font>
      <b/>
      <sz val="11"/>
      <color rgb="FF000000"/>
      <name val="BentonSans Book"/>
      <family val="3"/>
    </font>
    <font>
      <sz val="11"/>
      <color rgb="FF000000"/>
      <name val="BentonSans Book"/>
      <family val="3"/>
    </font>
    <font>
      <b/>
      <sz val="11"/>
      <color theme="9" tint="-0.24997000396251678"/>
      <name val="BentonSans Book"/>
      <family val="3"/>
    </font>
    <font>
      <b/>
      <sz val="10"/>
      <color rgb="FF000000"/>
      <name val="Bookman Old Style"/>
      <family val="1"/>
    </font>
    <font>
      <b/>
      <sz val="10"/>
      <color rgb="FF000000"/>
      <name val="BentonSans Book"/>
      <family val="3"/>
    </font>
    <font>
      <sz val="10"/>
      <color rgb="FF000000"/>
      <name val="BentonSans Book"/>
      <family val="3"/>
    </font>
    <font>
      <sz val="10"/>
      <color theme="0"/>
      <name val="Verdana"/>
      <family val="2"/>
    </font>
    <font>
      <sz val="10"/>
      <color theme="1"/>
      <name val="BentonSans Regular"/>
      <family val="3"/>
    </font>
    <font>
      <b/>
      <sz val="10"/>
      <color theme="1"/>
      <name val="BentonSans Regular"/>
      <family val="3"/>
    </font>
    <font>
      <sz val="10"/>
      <color theme="1"/>
      <name val="BentonSans Black"/>
      <family val="3"/>
    </font>
    <font>
      <sz val="10"/>
      <color rgb="FFFF0000"/>
      <name val="BentonSans Book"/>
      <family val="3"/>
    </font>
  </fonts>
  <fills count="8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patternFill patternType="solid">
        <fgColor rgb="FFD3DFEE"/>
        <bgColor indexed="64"/>
      </patternFill>
    </fill>
    <fill>
      <patternFill patternType="solid">
        <fgColor rgb="FFFFFF00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patternFill patternType="solid">
        <fgColor rgb="FFFFFF00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patternFill patternType="solid">
        <fgColor indexed="9"/>
        <bgColor indexed="64"/>
      </patternFill>
    </fill>
    <fill>
      <patternFill patternType="solid">
        <fgColor rgb="FFCDE2EC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</fills>
  <borders count="10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rgb="FF0070C0"/>
      </left>
      <right style="hair">
        <color rgb="FF0070C0"/>
      </right>
      <top style="hair">
        <color rgb="FF0070C0"/>
      </top>
      <bottom style="hair">
        <color rgb="FF0070C0"/>
      </bottom>
    </border>
    <border>
      <left style="hair">
        <color rgb="FF0070C0"/>
      </left>
      <right style="hair">
        <color rgb="FF0070C0"/>
      </right>
      <top style="hair">
        <color rgb="FF0070C0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rgb="FF0070C0"/>
      </left>
      <right style="medium">
        <color rgb="FF0070C0"/>
      </right>
      <top style="medium">
        <color rgb="FF0070C0"/>
      </top>
      <bottom/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</border>
    <border>
      <left style="thin">
        <color indexed="22"/>
      </left>
      <right>
        <color indexed="63"/>
      </right>
      <top/>
      <bottom/>
    </border>
    <border>
      <left style="thin">
        <color indexed="22"/>
      </left>
      <right style="thin">
        <color indexed="22"/>
      </right>
      <top/>
      <bottom>
        <color indexed="63"/>
      </bottom>
    </border>
    <border>
      <left style="thin">
        <color indexed="22"/>
      </left>
      <right style="thin">
        <color indexed="22"/>
      </right>
      <top style="hair">
        <color indexed="22"/>
      </top>
      <bottom>
        <color indexed="63"/>
      </bottom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/>
      <bottom style="hair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>
        <color rgb="FF0070C0"/>
      </left>
      <right style="thin">
        <color rgb="FF0070C0"/>
      </right>
      <top>
        <color indexed="63"/>
      </top>
      <bottom style="thin">
        <color rgb="FF0070C0"/>
      </bottom>
    </border>
    <border>
      <left style="thin">
        <color rgb="FF0070C0"/>
      </left>
      <right style="thin">
        <color rgb="FF0070C0"/>
      </right>
      <top>
        <color indexed="63"/>
      </top>
      <bottom style="thin">
        <color rgb="FF0070C0"/>
      </bottom>
    </border>
    <border>
      <left style="thin">
        <color rgb="FF0070C0"/>
      </left>
      <right>
        <color indexed="63"/>
      </right>
      <top>
        <color indexed="63"/>
      </top>
      <bottom style="thin">
        <color rgb="FF0070C0"/>
      </bottom>
    </border>
    <border>
      <left style="thin">
        <color rgb="FF0070C0"/>
      </left>
      <right style="medium">
        <color rgb="FF0070C0"/>
      </right>
      <top>
        <color indexed="63"/>
      </top>
      <bottom style="thin">
        <color rgb="FF0070C0"/>
      </bottom>
    </border>
    <border>
      <left style="medium">
        <color rgb="FF0070C0"/>
      </left>
      <right style="thin">
        <color rgb="FF0070C0"/>
      </right>
      <top style="thin">
        <color rgb="FF0070C0"/>
      </top>
      <bottom style="thin">
        <color rgb="FF0070C0"/>
      </bottom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</border>
    <border>
      <left style="thin">
        <color rgb="FF0070C0"/>
      </left>
      <right>
        <color indexed="63"/>
      </right>
      <top style="thin">
        <color rgb="FF0070C0"/>
      </top>
      <bottom style="thin">
        <color rgb="FF0070C0"/>
      </bottom>
    </border>
    <border>
      <left style="thin">
        <color rgb="FF0070C0"/>
      </left>
      <right style="medium">
        <color rgb="FF0070C0"/>
      </right>
      <top style="thin">
        <color rgb="FF0070C0"/>
      </top>
      <bottom style="thin">
        <color rgb="FF0070C0"/>
      </bottom>
    </border>
    <border>
      <left style="medium">
        <color rgb="FF0070C0"/>
      </left>
      <right style="thin">
        <color rgb="FF0070C0"/>
      </right>
      <top style="thin">
        <color rgb="FF0070C0"/>
      </top>
      <bottom style="medium">
        <color rgb="FF0070C0"/>
      </bottom>
    </border>
    <border>
      <left style="thin">
        <color rgb="FF0070C0"/>
      </left>
      <right style="thin">
        <color rgb="FF0070C0"/>
      </right>
      <top style="thin">
        <color rgb="FF0070C0"/>
      </top>
      <bottom style="medium">
        <color rgb="FF0070C0"/>
      </bottom>
    </border>
    <border>
      <left style="thin">
        <color rgb="FF0070C0"/>
      </left>
      <right>
        <color indexed="63"/>
      </right>
      <top style="thin">
        <color rgb="FF0070C0"/>
      </top>
      <bottom style="medium">
        <color rgb="FF0070C0"/>
      </bottom>
    </border>
    <border>
      <left style="thin">
        <color rgb="FF0070C0"/>
      </left>
      <right style="medium">
        <color rgb="FF0070C0"/>
      </right>
      <top style="thin">
        <color rgb="FF0070C0"/>
      </top>
      <bottom style="medium">
        <color rgb="FF0070C0"/>
      </bottom>
    </border>
    <border>
      <left style="medium">
        <color rgb="FF0070C0"/>
      </left>
      <right/>
      <top style="medium">
        <color rgb="FF0070C0"/>
      </top>
      <bottom style="medium">
        <color rgb="FF0070C0"/>
      </bottom>
    </border>
    <border>
      <left style="thin">
        <color rgb="FF0070C0"/>
      </left>
      <right style="thin">
        <color rgb="FF0070C0"/>
      </right>
      <top style="thin"/>
      <bottom style="thin">
        <color rgb="FF0070C0"/>
      </bottom>
    </border>
    <border>
      <left style="medium">
        <color rgb="FF0070C0"/>
      </left>
      <right style="thin">
        <color rgb="FF0070C0"/>
      </right>
      <top style="medium">
        <color rgb="FF0070C0"/>
      </top>
      <bottom style="thin">
        <color rgb="FF0070C0"/>
      </bottom>
    </border>
    <border>
      <left style="medium">
        <color rgb="FF0070C0"/>
      </left>
      <right>
        <color indexed="63"/>
      </right>
      <top style="thin">
        <color rgb="FF0070C0"/>
      </top>
      <bottom style="thin">
        <color rgb="FF0070C0"/>
      </bottom>
    </border>
    <border>
      <left style="medium">
        <color rgb="FF0070C0"/>
      </left>
      <right>
        <color indexed="63"/>
      </right>
      <top style="thin">
        <color rgb="FF0070C0"/>
      </top>
      <bottom style="medium">
        <color rgb="FF0070C0"/>
      </bottom>
    </border>
    <border>
      <left style="thin">
        <color rgb="FF0070C0"/>
      </left>
      <right style="thin"/>
      <top style="thin"/>
      <bottom style="thin">
        <color rgb="FF0070C0"/>
      </bottom>
    </border>
    <border>
      <left style="thin">
        <color rgb="FF0070C0"/>
      </left>
      <right style="thin"/>
      <top style="thin">
        <color rgb="FF0070C0"/>
      </top>
      <bottom style="thin">
        <color rgb="FF0070C0"/>
      </bottom>
    </border>
    <border>
      <left style="medium">
        <color rgb="FF0070C0"/>
      </left>
      <right style="thin"/>
      <top style="thin">
        <color rgb="FF0070C0"/>
      </top>
      <bottom style="thin">
        <color rgb="FF0070C0"/>
      </bottom>
    </border>
    <border>
      <left style="medium">
        <color rgb="FF0070C0"/>
      </left>
      <right style="thin"/>
      <top style="thin">
        <color rgb="FF0070C0"/>
      </top>
      <bottom>
        <color indexed="63"/>
      </bottom>
    </border>
    <border>
      <left style="medium">
        <color rgb="FF0070C0"/>
      </left>
      <right style="thin"/>
      <top>
        <color indexed="63"/>
      </top>
      <bottom>
        <color indexed="63"/>
      </bottom>
    </border>
    <border>
      <left style="medium">
        <color rgb="FF0070C0"/>
      </left>
      <right style="thin"/>
      <top>
        <color indexed="63"/>
      </top>
      <bottom style="medium"/>
    </border>
    <border>
      <left style="thin">
        <color rgb="FF0070C0"/>
      </left>
      <right style="thin">
        <color rgb="FF0070C0"/>
      </right>
      <top style="thin"/>
      <bottom>
        <color indexed="63"/>
      </bottom>
    </border>
    <border>
      <left style="thin">
        <color rgb="FF0070C0"/>
      </left>
      <right>
        <color indexed="63"/>
      </right>
      <top style="thin"/>
      <bottom style="thin">
        <color rgb="FF0070C0"/>
      </bottom>
    </border>
    <border>
      <left style="medium">
        <color rgb="FF002060"/>
      </left>
      <right style="medium">
        <color rgb="FF002060"/>
      </right>
      <top style="thin">
        <color rgb="FF002060"/>
      </top>
      <bottom style="thin">
        <color rgb="FF002060"/>
      </bottom>
    </border>
    <border>
      <left style="medium">
        <color rgb="FF002060"/>
      </left>
      <right style="medium">
        <color rgb="FF002060"/>
      </right>
      <top style="thin">
        <color rgb="FF002060"/>
      </top>
      <bottom style="medium">
        <color rgb="FF002060"/>
      </bottom>
    </border>
    <border>
      <left style="medium">
        <color rgb="FF002060"/>
      </left>
      <right style="medium">
        <color rgb="FF002060"/>
      </right>
      <top>
        <color indexed="63"/>
      </top>
      <bottom style="thin">
        <color rgb="FF00206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>
        <color rgb="FF002060"/>
      </right>
      <top>
        <color indexed="63"/>
      </top>
      <bottom style="thin">
        <color rgb="FF002060"/>
      </bottom>
    </border>
    <border>
      <left>
        <color indexed="63"/>
      </left>
      <right style="medium">
        <color rgb="FF002060"/>
      </right>
      <top style="thin">
        <color rgb="FF002060"/>
      </top>
      <bottom style="thin">
        <color rgb="FF002060"/>
      </bottom>
    </border>
    <border>
      <left>
        <color indexed="63"/>
      </left>
      <right style="medium">
        <color rgb="FF002060"/>
      </right>
      <top style="thin">
        <color rgb="FF002060"/>
      </top>
      <bottom style="medium">
        <color rgb="FF002060"/>
      </bottom>
    </border>
    <border>
      <left style="medium">
        <color rgb="FF002060"/>
      </left>
      <right>
        <color indexed="63"/>
      </right>
      <top>
        <color indexed="63"/>
      </top>
      <bottom style="thin">
        <color rgb="FF002060"/>
      </bottom>
    </border>
    <border>
      <left style="medium">
        <color rgb="FF002060"/>
      </left>
      <right>
        <color indexed="63"/>
      </right>
      <top style="thin">
        <color rgb="FF002060"/>
      </top>
      <bottom style="thin">
        <color rgb="FF002060"/>
      </bottom>
    </border>
    <border>
      <left style="medium">
        <color rgb="FF002060"/>
      </left>
      <right>
        <color indexed="63"/>
      </right>
      <top style="thin">
        <color rgb="FF002060"/>
      </top>
      <bottom style="medium">
        <color rgb="FF002060"/>
      </bottom>
    </border>
    <border>
      <left style="medium">
        <color rgb="FF0070C0"/>
      </left>
      <right>
        <color indexed="63"/>
      </right>
      <top style="medium">
        <color rgb="FF0070C0"/>
      </top>
      <bottom style="thin">
        <color rgb="FF0070C0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/>
      <right style="medium"/>
      <top style="medium"/>
      <bottom style="medium"/>
    </border>
  </borders>
  <cellStyleXfs count="43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9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8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0" fillId="26" borderId="0" applyNumberFormat="0" applyBorder="0" applyAlignment="0" applyProtection="0"/>
    <xf numFmtId="0" fontId="71" fillId="27" borderId="0" applyNumberFormat="0" applyBorder="0" applyAlignment="0" applyProtection="0"/>
    <xf numFmtId="0" fontId="72" fillId="28" borderId="1" applyNumberFormat="0" applyAlignment="0" applyProtection="0"/>
    <xf numFmtId="0" fontId="73" fillId="28" borderId="1" applyNumberFormat="0" applyAlignment="0" applyProtection="0"/>
    <xf numFmtId="0" fontId="74" fillId="29" borderId="2" applyNumberFormat="0" applyAlignment="0" applyProtection="0"/>
    <xf numFmtId="38" fontId="2" fillId="30" borderId="0" applyNumberFormat="0">
      <alignment horizontal="center"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2" fillId="0" borderId="0" applyFill="0" applyBorder="0" applyAlignment="0" applyProtection="0"/>
    <xf numFmtId="179" fontId="2" fillId="0" borderId="0" applyFont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43" fontId="2" fillId="0" borderId="0" applyFont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43" fontId="2" fillId="0" borderId="0" applyFont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43" fontId="2" fillId="0" borderId="0" applyFont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38" fontId="3" fillId="31" borderId="0" applyNumberFormat="0" applyFont="0" applyBorder="0" applyAlignment="0">
      <protection/>
    </xf>
    <xf numFmtId="38" fontId="4" fillId="31" borderId="0" applyNumberFormat="0">
      <alignment horizontal="center" vertical="top" wrapText="1"/>
      <protection/>
    </xf>
    <xf numFmtId="0" fontId="2" fillId="0" borderId="3">
      <alignment horizontal="right" vertical="top"/>
      <protection/>
    </xf>
    <xf numFmtId="0" fontId="2" fillId="0" borderId="3">
      <alignment horizontal="right" vertical="top"/>
      <protection/>
    </xf>
    <xf numFmtId="10" fontId="2" fillId="0" borderId="3">
      <alignment horizontal="right" vertical="top"/>
      <protection/>
    </xf>
    <xf numFmtId="38" fontId="4" fillId="31" borderId="4" applyNumberFormat="0">
      <alignment horizontal="center" wrapText="1"/>
      <protection/>
    </xf>
    <xf numFmtId="0" fontId="78" fillId="32" borderId="0" applyNumberFormat="0" applyBorder="0" applyAlignment="0" applyProtection="0"/>
    <xf numFmtId="0" fontId="79" fillId="0" borderId="5" applyNumberFormat="0" applyFill="0" applyAlignment="0" applyProtection="0"/>
    <xf numFmtId="0" fontId="80" fillId="0" borderId="6" applyNumberFormat="0" applyFill="0" applyAlignment="0" applyProtection="0"/>
    <xf numFmtId="0" fontId="81" fillId="0" borderId="7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33" borderId="1" applyNumberFormat="0" applyAlignment="0" applyProtection="0"/>
    <xf numFmtId="0" fontId="84" fillId="33" borderId="1" applyNumberFormat="0" applyAlignment="0" applyProtection="0"/>
    <xf numFmtId="37" fontId="5" fillId="34" borderId="8">
      <alignment vertical="top" wrapText="1"/>
      <protection/>
    </xf>
    <xf numFmtId="0" fontId="6" fillId="35" borderId="8">
      <alignment vertical="top" wrapText="1"/>
      <protection/>
    </xf>
    <xf numFmtId="38" fontId="3" fillId="36" borderId="9">
      <alignment vertical="top" wrapText="1"/>
      <protection/>
    </xf>
    <xf numFmtId="38" fontId="3" fillId="31" borderId="10">
      <alignment vertical="top" wrapText="1"/>
      <protection/>
    </xf>
    <xf numFmtId="38" fontId="4" fillId="36" borderId="10">
      <alignment vertical="top" wrapText="1"/>
      <protection/>
    </xf>
    <xf numFmtId="38" fontId="4" fillId="31" borderId="10">
      <alignment vertical="top" wrapText="1"/>
      <protection/>
    </xf>
    <xf numFmtId="38" fontId="7" fillId="36" borderId="10">
      <alignment horizontal="right" vertical="top" wrapText="1"/>
      <protection/>
    </xf>
    <xf numFmtId="38" fontId="7" fillId="31" borderId="10">
      <alignment horizontal="right" vertical="top" wrapText="1"/>
      <protection/>
    </xf>
    <xf numFmtId="38" fontId="4" fillId="36" borderId="10">
      <alignment horizontal="center" vertical="top" wrapText="1"/>
      <protection/>
    </xf>
    <xf numFmtId="38" fontId="2" fillId="37" borderId="9">
      <alignment vertical="top" wrapText="1"/>
      <protection/>
    </xf>
    <xf numFmtId="38" fontId="2" fillId="31" borderId="10">
      <alignment vertical="top" wrapText="1"/>
      <protection/>
    </xf>
    <xf numFmtId="38" fontId="4" fillId="31" borderId="10">
      <alignment vertical="top" wrapText="1"/>
      <protection/>
    </xf>
    <xf numFmtId="38" fontId="2" fillId="31" borderId="10">
      <alignment vertical="top" wrapText="1"/>
      <protection/>
    </xf>
    <xf numFmtId="38" fontId="4" fillId="37" borderId="10">
      <alignment horizontal="center" vertical="top"/>
      <protection/>
    </xf>
    <xf numFmtId="38" fontId="2" fillId="37" borderId="9">
      <alignment horizontal="left" vertical="top" wrapText="1" indent="1"/>
      <protection/>
    </xf>
    <xf numFmtId="38" fontId="2" fillId="31" borderId="9">
      <alignment horizontal="left" vertical="top" wrapText="1" indent="1"/>
      <protection/>
    </xf>
    <xf numFmtId="0" fontId="85" fillId="0" borderId="11" applyNumberFormat="0" applyFill="0" applyAlignment="0" applyProtection="0"/>
    <xf numFmtId="38" fontId="8" fillId="0" borderId="12">
      <alignment vertical="top" wrapText="1"/>
      <protection/>
    </xf>
    <xf numFmtId="38" fontId="4" fillId="0" borderId="12">
      <alignment horizontal="center" vertical="top" wrapText="1"/>
      <protection/>
    </xf>
    <xf numFmtId="43" fontId="1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86" fillId="38" borderId="0" applyNumberFormat="0" applyBorder="0" applyAlignment="0" applyProtection="0"/>
    <xf numFmtId="0" fontId="68" fillId="0" borderId="0">
      <alignment/>
      <protection/>
    </xf>
    <xf numFmtId="0" fontId="6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8" fillId="0" borderId="0">
      <alignment/>
      <protection/>
    </xf>
    <xf numFmtId="0" fontId="2" fillId="0" borderId="0">
      <alignment/>
      <protection/>
    </xf>
    <xf numFmtId="0" fontId="6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9" borderId="13" applyNumberFormat="0" applyFont="0" applyAlignment="0" applyProtection="0"/>
    <xf numFmtId="0" fontId="87" fillId="28" borderId="14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88" fillId="0" borderId="0" applyFont="0" applyFill="0" applyBorder="0" applyAlignment="0" applyProtection="0"/>
    <xf numFmtId="38" fontId="7" fillId="37" borderId="9">
      <alignment vertical="top" wrapText="1"/>
      <protection/>
    </xf>
    <xf numFmtId="0" fontId="89" fillId="0" borderId="0" applyNumberFormat="0" applyFill="0" applyBorder="0" applyAlignment="0" applyProtection="0"/>
    <xf numFmtId="0" fontId="90" fillId="0" borderId="15" applyNumberFormat="0" applyFill="0" applyAlignment="0" applyProtection="0"/>
    <xf numFmtId="0" fontId="91" fillId="0" borderId="0" applyNumberFormat="0" applyFill="0" applyBorder="0" applyAlignment="0" applyProtection="0"/>
  </cellStyleXfs>
  <cellXfs count="345">
    <xf numFmtId="0" fontId="0" fillId="0" borderId="0" xfId="0" applyAlignment="1">
      <alignment/>
    </xf>
    <xf numFmtId="0" fontId="0" fillId="40" borderId="0" xfId="0" applyFill="1" applyAlignment="1">
      <alignment/>
    </xf>
    <xf numFmtId="0" fontId="92" fillId="40" borderId="0" xfId="0" applyFont="1" applyFill="1" applyAlignment="1">
      <alignment/>
    </xf>
    <xf numFmtId="9" fontId="0" fillId="40" borderId="0" xfId="388" applyFont="1" applyFill="1" applyAlignment="1">
      <alignment/>
    </xf>
    <xf numFmtId="172" fontId="0" fillId="40" borderId="0" xfId="388" applyNumberFormat="1" applyFont="1" applyFill="1" applyAlignment="1">
      <alignment/>
    </xf>
    <xf numFmtId="0" fontId="93" fillId="40" borderId="0" xfId="0" applyFont="1" applyFill="1" applyAlignment="1">
      <alignment/>
    </xf>
    <xf numFmtId="0" fontId="0" fillId="41" borderId="16" xfId="0" applyFont="1" applyFill="1" applyBorder="1" applyAlignment="1">
      <alignment/>
    </xf>
    <xf numFmtId="0" fontId="92" fillId="41" borderId="16" xfId="0" applyFont="1" applyFill="1" applyBorder="1" applyAlignment="1">
      <alignment/>
    </xf>
    <xf numFmtId="0" fontId="0" fillId="40" borderId="16" xfId="0" applyFill="1" applyBorder="1" applyAlignment="1">
      <alignment/>
    </xf>
    <xf numFmtId="0" fontId="0" fillId="41" borderId="16" xfId="0" applyFont="1" applyFill="1" applyBorder="1" applyAlignment="1">
      <alignment horizontal="left" indent="3"/>
    </xf>
    <xf numFmtId="175" fontId="0" fillId="40" borderId="16" xfId="45" applyNumberFormat="1" applyFont="1" applyFill="1" applyBorder="1" applyAlignment="1">
      <alignment/>
    </xf>
    <xf numFmtId="172" fontId="0" fillId="40" borderId="16" xfId="0" applyNumberFormat="1" applyFill="1" applyBorder="1" applyAlignment="1">
      <alignment/>
    </xf>
    <xf numFmtId="0" fontId="0" fillId="41" borderId="16" xfId="0" applyFont="1" applyFill="1" applyBorder="1" applyAlignment="1">
      <alignment/>
    </xf>
    <xf numFmtId="0" fontId="0" fillId="41" borderId="17" xfId="0" applyFont="1" applyFill="1" applyBorder="1" applyAlignment="1">
      <alignment/>
    </xf>
    <xf numFmtId="0" fontId="0" fillId="40" borderId="17" xfId="0" applyFill="1" applyBorder="1" applyAlignment="1">
      <alignment/>
    </xf>
    <xf numFmtId="0" fontId="94" fillId="0" borderId="18" xfId="0" applyFont="1" applyFill="1" applyBorder="1" applyAlignment="1">
      <alignment/>
    </xf>
    <xf numFmtId="0" fontId="94" fillId="0" borderId="19" xfId="0" applyFont="1" applyFill="1" applyBorder="1" applyAlignment="1">
      <alignment/>
    </xf>
    <xf numFmtId="172" fontId="94" fillId="0" borderId="19" xfId="388" applyNumberFormat="1" applyFont="1" applyFill="1" applyBorder="1" applyAlignment="1">
      <alignment/>
    </xf>
    <xf numFmtId="172" fontId="94" fillId="0" borderId="20" xfId="388" applyNumberFormat="1" applyFont="1" applyFill="1" applyBorder="1" applyAlignment="1">
      <alignment/>
    </xf>
    <xf numFmtId="0" fontId="92" fillId="41" borderId="17" xfId="0" applyFont="1" applyFill="1" applyBorder="1" applyAlignment="1">
      <alignment/>
    </xf>
    <xf numFmtId="175" fontId="95" fillId="41" borderId="17" xfId="45" applyNumberFormat="1" applyFont="1" applyFill="1" applyBorder="1" applyAlignment="1">
      <alignment/>
    </xf>
    <xf numFmtId="173" fontId="0" fillId="40" borderId="17" xfId="45" applyNumberFormat="1" applyFont="1" applyFill="1" applyBorder="1" applyAlignment="1">
      <alignment/>
    </xf>
    <xf numFmtId="0" fontId="94" fillId="0" borderId="21" xfId="0" applyFont="1" applyFill="1" applyBorder="1" applyAlignment="1">
      <alignment/>
    </xf>
    <xf numFmtId="43" fontId="94" fillId="0" borderId="22" xfId="45" applyFont="1" applyFill="1" applyBorder="1" applyAlignment="1">
      <alignment/>
    </xf>
    <xf numFmtId="172" fontId="94" fillId="0" borderId="22" xfId="388" applyNumberFormat="1" applyFont="1" applyFill="1" applyBorder="1" applyAlignment="1">
      <alignment/>
    </xf>
    <xf numFmtId="172" fontId="94" fillId="0" borderId="23" xfId="388" applyNumberFormat="1" applyFont="1" applyFill="1" applyBorder="1" applyAlignment="1">
      <alignment/>
    </xf>
    <xf numFmtId="0" fontId="94" fillId="0" borderId="24" xfId="0" applyFont="1" applyFill="1" applyBorder="1" applyAlignment="1">
      <alignment/>
    </xf>
    <xf numFmtId="43" fontId="94" fillId="0" borderId="25" xfId="45" applyFont="1" applyFill="1" applyBorder="1" applyAlignment="1">
      <alignment/>
    </xf>
    <xf numFmtId="172" fontId="94" fillId="0" borderId="25" xfId="388" applyNumberFormat="1" applyFont="1" applyFill="1" applyBorder="1" applyAlignment="1">
      <alignment/>
    </xf>
    <xf numFmtId="172" fontId="94" fillId="0" borderId="26" xfId="388" applyNumberFormat="1" applyFont="1" applyFill="1" applyBorder="1" applyAlignment="1">
      <alignment/>
    </xf>
    <xf numFmtId="0" fontId="96" fillId="42" borderId="27" xfId="0" applyFont="1" applyFill="1" applyBorder="1" applyAlignment="1">
      <alignment vertical="center" wrapText="1" readingOrder="1"/>
    </xf>
    <xf numFmtId="0" fontId="97" fillId="42" borderId="27" xfId="0" applyFont="1" applyFill="1" applyBorder="1" applyAlignment="1">
      <alignment vertical="center" wrapText="1" readingOrder="1"/>
    </xf>
    <xf numFmtId="0" fontId="96" fillId="0" borderId="28" xfId="0" applyFont="1" applyBorder="1" applyAlignment="1">
      <alignment horizontal="center" vertical="center" wrapText="1" readingOrder="1"/>
    </xf>
    <xf numFmtId="0" fontId="98" fillId="42" borderId="28" xfId="0" applyFont="1" applyFill="1" applyBorder="1" applyAlignment="1">
      <alignment horizontal="left" vertical="center" wrapText="1" readingOrder="1"/>
    </xf>
    <xf numFmtId="0" fontId="97" fillId="0" borderId="28" xfId="0" applyFont="1" applyBorder="1" applyAlignment="1">
      <alignment horizontal="right" vertical="center" wrapText="1" readingOrder="1"/>
    </xf>
    <xf numFmtId="0" fontId="96" fillId="0" borderId="28" xfId="0" applyFont="1" applyBorder="1" applyAlignment="1">
      <alignment horizontal="right" vertical="center" wrapText="1" readingOrder="1"/>
    </xf>
    <xf numFmtId="2" fontId="96" fillId="0" borderId="28" xfId="0" applyNumberFormat="1" applyFont="1" applyBorder="1" applyAlignment="1">
      <alignment horizontal="right" vertical="center" wrapText="1" readingOrder="1"/>
    </xf>
    <xf numFmtId="2" fontId="97" fillId="0" borderId="28" xfId="0" applyNumberFormat="1" applyFont="1" applyBorder="1" applyAlignment="1">
      <alignment horizontal="right" vertical="center" wrapText="1" readingOrder="1"/>
    </xf>
    <xf numFmtId="175" fontId="92" fillId="41" borderId="17" xfId="45" applyNumberFormat="1" applyFont="1" applyFill="1" applyBorder="1" applyAlignment="1">
      <alignment/>
    </xf>
    <xf numFmtId="0" fontId="99" fillId="43" borderId="22" xfId="0" applyFont="1" applyFill="1" applyBorder="1" applyAlignment="1">
      <alignment/>
    </xf>
    <xf numFmtId="201" fontId="99" fillId="43" borderId="22" xfId="0" applyNumberFormat="1" applyFont="1" applyFill="1" applyBorder="1" applyAlignment="1">
      <alignment/>
    </xf>
    <xf numFmtId="14" fontId="9" fillId="43" borderId="4" xfId="313" applyNumberFormat="1" applyFont="1" applyFill="1" applyBorder="1">
      <alignment/>
      <protection/>
    </xf>
    <xf numFmtId="201" fontId="9" fillId="43" borderId="4" xfId="313" applyNumberFormat="1" applyFont="1" applyFill="1" applyBorder="1">
      <alignment/>
      <protection/>
    </xf>
    <xf numFmtId="0" fontId="10" fillId="44" borderId="29" xfId="313" applyFont="1" applyFill="1" applyBorder="1">
      <alignment/>
      <protection/>
    </xf>
    <xf numFmtId="0" fontId="0" fillId="44" borderId="0" xfId="0" applyFill="1" applyAlignment="1">
      <alignment/>
    </xf>
    <xf numFmtId="2" fontId="11" fillId="44" borderId="30" xfId="313" applyNumberFormat="1" applyFont="1" applyFill="1" applyBorder="1">
      <alignment/>
      <protection/>
    </xf>
    <xf numFmtId="202" fontId="11" fillId="44" borderId="31" xfId="313" applyNumberFormat="1" applyFont="1" applyFill="1" applyBorder="1">
      <alignment/>
      <protection/>
    </xf>
    <xf numFmtId="0" fontId="100" fillId="40" borderId="0" xfId="279" applyFont="1" applyFill="1" applyAlignment="1" applyProtection="1">
      <alignment/>
      <protection/>
    </xf>
    <xf numFmtId="0" fontId="101" fillId="40" borderId="0" xfId="0" applyFont="1" applyFill="1" applyAlignment="1">
      <alignment/>
    </xf>
    <xf numFmtId="0" fontId="102" fillId="40" borderId="32" xfId="0" applyFont="1" applyFill="1" applyBorder="1" applyAlignment="1">
      <alignment horizontal="left" indent="1"/>
    </xf>
    <xf numFmtId="202" fontId="102" fillId="40" borderId="32" xfId="313" applyNumberFormat="1" applyFont="1" applyFill="1" applyBorder="1">
      <alignment/>
      <protection/>
    </xf>
    <xf numFmtId="0" fontId="101" fillId="40" borderId="32" xfId="0" applyFont="1" applyFill="1" applyBorder="1" applyAlignment="1">
      <alignment/>
    </xf>
    <xf numFmtId="0" fontId="99" fillId="40" borderId="0" xfId="0" applyFont="1" applyFill="1" applyAlignment="1">
      <alignment/>
    </xf>
    <xf numFmtId="202" fontId="11" fillId="40" borderId="33" xfId="313" applyNumberFormat="1" applyFont="1" applyFill="1" applyBorder="1">
      <alignment/>
      <protection/>
    </xf>
    <xf numFmtId="0" fontId="99" fillId="40" borderId="32" xfId="0" applyFont="1" applyFill="1" applyBorder="1" applyAlignment="1">
      <alignment horizontal="left" indent="1"/>
    </xf>
    <xf numFmtId="202" fontId="11" fillId="40" borderId="32" xfId="313" applyNumberFormat="1" applyFont="1" applyFill="1" applyBorder="1">
      <alignment/>
      <protection/>
    </xf>
    <xf numFmtId="0" fontId="0" fillId="40" borderId="32" xfId="0" applyFill="1" applyBorder="1" applyAlignment="1">
      <alignment/>
    </xf>
    <xf numFmtId="0" fontId="99" fillId="40" borderId="4" xfId="0" applyFont="1" applyFill="1" applyBorder="1" applyAlignment="1">
      <alignment horizontal="left" indent="1"/>
    </xf>
    <xf numFmtId="39" fontId="11" fillId="40" borderId="34" xfId="313" applyNumberFormat="1" applyFont="1" applyFill="1" applyBorder="1">
      <alignment/>
      <protection/>
    </xf>
    <xf numFmtId="0" fontId="103" fillId="0" borderId="0" xfId="0" applyFont="1" applyAlignment="1">
      <alignment/>
    </xf>
    <xf numFmtId="175" fontId="103" fillId="0" borderId="0" xfId="256" applyNumberFormat="1" applyFont="1" applyAlignment="1">
      <alignment/>
    </xf>
    <xf numFmtId="210" fontId="104" fillId="45" borderId="35" xfId="256" applyNumberFormat="1" applyFont="1" applyFill="1" applyBorder="1" applyAlignment="1">
      <alignment vertical="top"/>
    </xf>
    <xf numFmtId="210" fontId="104" fillId="45" borderId="36" xfId="256" applyNumberFormat="1" applyFont="1" applyFill="1" applyBorder="1" applyAlignment="1">
      <alignment vertical="top"/>
    </xf>
    <xf numFmtId="210" fontId="104" fillId="45" borderId="37" xfId="256" applyNumberFormat="1" applyFont="1" applyFill="1" applyBorder="1" applyAlignment="1">
      <alignment vertical="top"/>
    </xf>
    <xf numFmtId="210" fontId="104" fillId="45" borderId="38" xfId="256" applyNumberFormat="1" applyFont="1" applyFill="1" applyBorder="1" applyAlignment="1">
      <alignment vertical="top"/>
    </xf>
    <xf numFmtId="175" fontId="103" fillId="46" borderId="39" xfId="256" applyNumberFormat="1" applyFont="1" applyFill="1" applyBorder="1" applyAlignment="1" applyProtection="1">
      <alignment horizontal="left" indent="3"/>
      <protection/>
    </xf>
    <xf numFmtId="175" fontId="103" fillId="0" borderId="40" xfId="256" applyNumberFormat="1" applyFont="1" applyBorder="1" applyAlignment="1">
      <alignment/>
    </xf>
    <xf numFmtId="175" fontId="103" fillId="0" borderId="41" xfId="256" applyNumberFormat="1" applyFont="1" applyBorder="1" applyAlignment="1">
      <alignment/>
    </xf>
    <xf numFmtId="175" fontId="104" fillId="0" borderId="41" xfId="256" applyNumberFormat="1" applyFont="1" applyBorder="1" applyAlignment="1">
      <alignment/>
    </xf>
    <xf numFmtId="175" fontId="103" fillId="0" borderId="42" xfId="256" applyNumberFormat="1" applyFont="1" applyBorder="1" applyAlignment="1">
      <alignment/>
    </xf>
    <xf numFmtId="175" fontId="103" fillId="0" borderId="43" xfId="256" applyNumberFormat="1" applyFont="1" applyBorder="1" applyAlignment="1">
      <alignment/>
    </xf>
    <xf numFmtId="175" fontId="104" fillId="0" borderId="44" xfId="256" applyNumberFormat="1" applyFont="1" applyBorder="1" applyAlignment="1">
      <alignment/>
    </xf>
    <xf numFmtId="175" fontId="103" fillId="0" borderId="45" xfId="256" applyNumberFormat="1" applyFont="1" applyBorder="1" applyAlignment="1" applyProtection="1">
      <alignment horizontal="left" indent="3"/>
      <protection/>
    </xf>
    <xf numFmtId="175" fontId="103" fillId="0" borderId="20" xfId="256" applyNumberFormat="1" applyFont="1" applyBorder="1" applyAlignment="1">
      <alignment/>
    </xf>
    <xf numFmtId="175" fontId="103" fillId="0" borderId="18" xfId="256" applyNumberFormat="1" applyFont="1" applyBorder="1" applyAlignment="1">
      <alignment/>
    </xf>
    <xf numFmtId="175" fontId="104" fillId="0" borderId="18" xfId="256" applyNumberFormat="1" applyFont="1" applyBorder="1" applyAlignment="1">
      <alignment/>
    </xf>
    <xf numFmtId="175" fontId="103" fillId="0" borderId="46" xfId="256" applyNumberFormat="1" applyFont="1" applyBorder="1" applyAlignment="1">
      <alignment/>
    </xf>
    <xf numFmtId="175" fontId="103" fillId="0" borderId="19" xfId="256" applyNumberFormat="1" applyFont="1" applyBorder="1" applyAlignment="1">
      <alignment/>
    </xf>
    <xf numFmtId="175" fontId="104" fillId="0" borderId="47" xfId="256" applyNumberFormat="1" applyFont="1" applyBorder="1" applyAlignment="1">
      <alignment/>
    </xf>
    <xf numFmtId="175" fontId="103" fillId="0" borderId="48" xfId="256" applyNumberFormat="1" applyFont="1" applyBorder="1" applyAlignment="1" applyProtection="1">
      <alignment horizontal="left" indent="3"/>
      <protection/>
    </xf>
    <xf numFmtId="175" fontId="103" fillId="0" borderId="49" xfId="256" applyNumberFormat="1" applyFont="1" applyBorder="1" applyAlignment="1">
      <alignment/>
    </xf>
    <xf numFmtId="175" fontId="103" fillId="0" borderId="50" xfId="256" applyNumberFormat="1" applyFont="1" applyBorder="1" applyAlignment="1">
      <alignment/>
    </xf>
    <xf numFmtId="175" fontId="104" fillId="0" borderId="50" xfId="256" applyNumberFormat="1" applyFont="1" applyBorder="1" applyAlignment="1">
      <alignment/>
    </xf>
    <xf numFmtId="175" fontId="103" fillId="0" borderId="51" xfId="256" applyNumberFormat="1" applyFont="1" applyBorder="1" applyAlignment="1">
      <alignment/>
    </xf>
    <xf numFmtId="175" fontId="103" fillId="0" borderId="52" xfId="256" applyNumberFormat="1" applyFont="1" applyBorder="1" applyAlignment="1">
      <alignment/>
    </xf>
    <xf numFmtId="175" fontId="104" fillId="0" borderId="53" xfId="256" applyNumberFormat="1" applyFont="1" applyBorder="1" applyAlignment="1">
      <alignment/>
    </xf>
    <xf numFmtId="0" fontId="104" fillId="0" borderId="54" xfId="0" applyFont="1" applyBorder="1" applyAlignment="1">
      <alignment/>
    </xf>
    <xf numFmtId="175" fontId="104" fillId="0" borderId="55" xfId="256" applyNumberFormat="1" applyFont="1" applyBorder="1" applyAlignment="1">
      <alignment/>
    </xf>
    <xf numFmtId="175" fontId="104" fillId="0" borderId="56" xfId="256" applyNumberFormat="1" applyFont="1" applyBorder="1" applyAlignment="1">
      <alignment/>
    </xf>
    <xf numFmtId="175" fontId="104" fillId="0" borderId="57" xfId="256" applyNumberFormat="1" applyFont="1" applyBorder="1" applyAlignment="1">
      <alignment/>
    </xf>
    <xf numFmtId="175" fontId="104" fillId="0" borderId="58" xfId="256" applyNumberFormat="1" applyFont="1" applyBorder="1" applyAlignment="1">
      <alignment/>
    </xf>
    <xf numFmtId="0" fontId="104" fillId="0" borderId="0" xfId="0" applyFont="1" applyBorder="1" applyAlignment="1">
      <alignment/>
    </xf>
    <xf numFmtId="175" fontId="104" fillId="0" borderId="0" xfId="256" applyNumberFormat="1" applyFont="1" applyBorder="1" applyAlignment="1">
      <alignment/>
    </xf>
    <xf numFmtId="0" fontId="103" fillId="0" borderId="0" xfId="0" applyFont="1" applyBorder="1" applyAlignment="1">
      <alignment/>
    </xf>
    <xf numFmtId="175" fontId="103" fillId="0" borderId="45" xfId="256" applyNumberFormat="1" applyFont="1" applyBorder="1" applyAlignment="1" applyProtection="1">
      <alignment horizontal="left" indent="3"/>
      <protection/>
    </xf>
    <xf numFmtId="175" fontId="103" fillId="0" borderId="48" xfId="256" applyNumberFormat="1" applyFont="1" applyBorder="1" applyAlignment="1" applyProtection="1">
      <alignment horizontal="left" indent="3"/>
      <protection/>
    </xf>
    <xf numFmtId="175" fontId="103" fillId="0" borderId="51" xfId="256" applyNumberFormat="1" applyFont="1" applyBorder="1" applyAlignment="1">
      <alignment/>
    </xf>
    <xf numFmtId="175" fontId="104" fillId="0" borderId="53" xfId="256" applyNumberFormat="1" applyFont="1" applyBorder="1" applyAlignment="1">
      <alignment/>
    </xf>
    <xf numFmtId="0" fontId="104" fillId="45" borderId="37" xfId="0" applyFont="1" applyFill="1" applyBorder="1" applyAlignment="1">
      <alignment wrapText="1"/>
    </xf>
    <xf numFmtId="210" fontId="104" fillId="45" borderId="59" xfId="256" applyNumberFormat="1" applyFont="1" applyFill="1" applyBorder="1" applyAlignment="1">
      <alignment vertical="top"/>
    </xf>
    <xf numFmtId="175" fontId="103" fillId="46" borderId="42" xfId="256" applyNumberFormat="1" applyFont="1" applyFill="1" applyBorder="1" applyAlignment="1" applyProtection="1">
      <alignment horizontal="left" indent="3"/>
      <protection/>
    </xf>
    <xf numFmtId="175" fontId="103" fillId="0" borderId="60" xfId="256" applyNumberFormat="1" applyFont="1" applyBorder="1" applyAlignment="1">
      <alignment/>
    </xf>
    <xf numFmtId="175" fontId="103" fillId="0" borderId="44" xfId="256" applyNumberFormat="1" applyFont="1" applyBorder="1" applyAlignment="1">
      <alignment/>
    </xf>
    <xf numFmtId="175" fontId="103" fillId="0" borderId="46" xfId="256" applyNumberFormat="1" applyFont="1" applyBorder="1" applyAlignment="1" applyProtection="1">
      <alignment horizontal="left" indent="3"/>
      <protection/>
    </xf>
    <xf numFmtId="175" fontId="103" fillId="0" borderId="3" xfId="256" applyNumberFormat="1" applyFont="1" applyBorder="1" applyAlignment="1">
      <alignment/>
    </xf>
    <xf numFmtId="175" fontId="103" fillId="0" borderId="47" xfId="256" applyNumberFormat="1" applyFont="1" applyBorder="1" applyAlignment="1">
      <alignment/>
    </xf>
    <xf numFmtId="175" fontId="103" fillId="0" borderId="51" xfId="256" applyNumberFormat="1" applyFont="1" applyBorder="1" applyAlignment="1" applyProtection="1">
      <alignment horizontal="left" indent="3"/>
      <protection/>
    </xf>
    <xf numFmtId="175" fontId="103" fillId="0" borderId="61" xfId="256" applyNumberFormat="1" applyFont="1" applyBorder="1" applyAlignment="1">
      <alignment/>
    </xf>
    <xf numFmtId="175" fontId="103" fillId="0" borderId="50" xfId="256" applyNumberFormat="1" applyFont="1" applyBorder="1" applyAlignment="1">
      <alignment/>
    </xf>
    <xf numFmtId="175" fontId="103" fillId="0" borderId="53" xfId="256" applyNumberFormat="1" applyFont="1" applyBorder="1" applyAlignment="1">
      <alignment/>
    </xf>
    <xf numFmtId="0" fontId="104" fillId="0" borderId="57" xfId="0" applyFont="1" applyBorder="1" applyAlignment="1">
      <alignment/>
    </xf>
    <xf numFmtId="175" fontId="104" fillId="0" borderId="62" xfId="256" applyNumberFormat="1" applyFont="1" applyBorder="1" applyAlignment="1">
      <alignment/>
    </xf>
    <xf numFmtId="210" fontId="104" fillId="45" borderId="63" xfId="256" applyNumberFormat="1" applyFont="1" applyFill="1" applyBorder="1" applyAlignment="1">
      <alignment vertical="top"/>
    </xf>
    <xf numFmtId="210" fontId="104" fillId="45" borderId="12" xfId="256" applyNumberFormat="1" applyFont="1" applyFill="1" applyBorder="1" applyAlignment="1">
      <alignment vertical="top"/>
    </xf>
    <xf numFmtId="175" fontId="103" fillId="0" borderId="0" xfId="45" applyNumberFormat="1" applyFont="1" applyAlignment="1">
      <alignment/>
    </xf>
    <xf numFmtId="175" fontId="103" fillId="0" borderId="18" xfId="45" applyNumberFormat="1" applyFont="1" applyBorder="1" applyAlignment="1">
      <alignment/>
    </xf>
    <xf numFmtId="175" fontId="103" fillId="0" borderId="50" xfId="45" applyNumberFormat="1" applyFont="1" applyBorder="1" applyAlignment="1">
      <alignment/>
    </xf>
    <xf numFmtId="210" fontId="104" fillId="45" borderId="64" xfId="256" applyNumberFormat="1" applyFont="1" applyFill="1" applyBorder="1" applyAlignment="1">
      <alignment vertical="top"/>
    </xf>
    <xf numFmtId="175" fontId="104" fillId="39" borderId="39" xfId="256" applyNumberFormat="1" applyFont="1" applyFill="1" applyBorder="1" applyAlignment="1">
      <alignment/>
    </xf>
    <xf numFmtId="175" fontId="104" fillId="39" borderId="45" xfId="256" applyNumberFormat="1" applyFont="1" applyFill="1" applyBorder="1" applyAlignment="1">
      <alignment/>
    </xf>
    <xf numFmtId="175" fontId="104" fillId="39" borderId="48" xfId="256" applyNumberFormat="1" applyFont="1" applyFill="1" applyBorder="1" applyAlignment="1">
      <alignment/>
    </xf>
    <xf numFmtId="175" fontId="104" fillId="39" borderId="54" xfId="256" applyNumberFormat="1" applyFont="1" applyFill="1" applyBorder="1" applyAlignment="1">
      <alignment/>
    </xf>
    <xf numFmtId="175" fontId="104" fillId="47" borderId="41" xfId="256" applyNumberFormat="1" applyFont="1" applyFill="1" applyBorder="1" applyAlignment="1">
      <alignment/>
    </xf>
    <xf numFmtId="175" fontId="104" fillId="47" borderId="18" xfId="256" applyNumberFormat="1" applyFont="1" applyFill="1" applyBorder="1" applyAlignment="1">
      <alignment/>
    </xf>
    <xf numFmtId="175" fontId="104" fillId="47" borderId="50" xfId="256" applyNumberFormat="1" applyFont="1" applyFill="1" applyBorder="1" applyAlignment="1">
      <alignment/>
    </xf>
    <xf numFmtId="175" fontId="104" fillId="47" borderId="56" xfId="256" applyNumberFormat="1" applyFont="1" applyFill="1" applyBorder="1" applyAlignment="1">
      <alignment/>
    </xf>
    <xf numFmtId="0" fontId="105" fillId="0" borderId="0" xfId="0" applyFont="1" applyAlignment="1">
      <alignment/>
    </xf>
    <xf numFmtId="0" fontId="106" fillId="0" borderId="0" xfId="0" applyFont="1" applyAlignment="1">
      <alignment/>
    </xf>
    <xf numFmtId="0" fontId="106" fillId="48" borderId="0" xfId="0" applyFont="1" applyFill="1" applyBorder="1" applyAlignment="1">
      <alignment/>
    </xf>
    <xf numFmtId="0" fontId="105" fillId="49" borderId="0" xfId="0" applyFont="1" applyFill="1" applyBorder="1" applyAlignment="1">
      <alignment/>
    </xf>
    <xf numFmtId="0" fontId="107" fillId="50" borderId="0" xfId="0" applyFont="1" applyFill="1" applyBorder="1" applyAlignment="1">
      <alignment/>
    </xf>
    <xf numFmtId="0" fontId="108" fillId="51" borderId="0" xfId="0" applyFont="1" applyFill="1" applyBorder="1" applyAlignment="1">
      <alignment/>
    </xf>
    <xf numFmtId="0" fontId="109" fillId="0" borderId="0" xfId="0" applyFont="1" applyAlignment="1">
      <alignment/>
    </xf>
    <xf numFmtId="0" fontId="110" fillId="0" borderId="0" xfId="0" applyFont="1" applyAlignment="1">
      <alignment/>
    </xf>
    <xf numFmtId="0" fontId="111" fillId="0" borderId="0" xfId="0" applyFont="1" applyAlignment="1">
      <alignment/>
    </xf>
    <xf numFmtId="0" fontId="112" fillId="52" borderId="65" xfId="0" applyFont="1" applyFill="1" applyBorder="1" applyAlignment="1">
      <alignment vertical="center" wrapText="1"/>
    </xf>
    <xf numFmtId="173" fontId="112" fillId="52" borderId="66" xfId="45" applyNumberFormat="1" applyFont="1" applyFill="1" applyBorder="1" applyAlignment="1">
      <alignment horizontal="right" vertical="center"/>
    </xf>
    <xf numFmtId="173" fontId="112" fillId="52" borderId="67" xfId="45" applyNumberFormat="1" applyFont="1" applyFill="1" applyBorder="1" applyAlignment="1">
      <alignment horizontal="right" vertical="center"/>
    </xf>
    <xf numFmtId="173" fontId="112" fillId="52" borderId="68" xfId="45" applyNumberFormat="1" applyFont="1" applyFill="1" applyBorder="1" applyAlignment="1">
      <alignment horizontal="right" vertical="center"/>
    </xf>
    <xf numFmtId="173" fontId="112" fillId="52" borderId="68" xfId="0" applyNumberFormat="1" applyFont="1" applyFill="1" applyBorder="1" applyAlignment="1">
      <alignment horizontal="right" vertical="center"/>
    </xf>
    <xf numFmtId="0" fontId="113" fillId="0" borderId="69" xfId="0" applyFont="1" applyBorder="1" applyAlignment="1">
      <alignment horizontal="left" vertical="center" wrapText="1" indent="4"/>
    </xf>
    <xf numFmtId="173" fontId="113" fillId="0" borderId="70" xfId="45" applyNumberFormat="1" applyFont="1" applyBorder="1" applyAlignment="1">
      <alignment horizontal="right" vertical="center"/>
    </xf>
    <xf numFmtId="173" fontId="113" fillId="0" borderId="71" xfId="45" applyNumberFormat="1" applyFont="1" applyBorder="1" applyAlignment="1">
      <alignment horizontal="right" vertical="center"/>
    </xf>
    <xf numFmtId="173" fontId="113" fillId="0" borderId="72" xfId="45" applyNumberFormat="1" applyFont="1" applyBorder="1" applyAlignment="1">
      <alignment horizontal="right" vertical="center"/>
    </xf>
    <xf numFmtId="173" fontId="113" fillId="0" borderId="72" xfId="0" applyNumberFormat="1" applyFont="1" applyBorder="1" applyAlignment="1">
      <alignment horizontal="right" vertical="center"/>
    </xf>
    <xf numFmtId="0" fontId="113" fillId="52" borderId="69" xfId="0" applyFont="1" applyFill="1" applyBorder="1" applyAlignment="1">
      <alignment horizontal="left" vertical="center" wrapText="1" indent="4"/>
    </xf>
    <xf numFmtId="173" fontId="113" fillId="52" borderId="70" xfId="45" applyNumberFormat="1" applyFont="1" applyFill="1" applyBorder="1" applyAlignment="1">
      <alignment horizontal="right" vertical="center"/>
    </xf>
    <xf numFmtId="173" fontId="113" fillId="52" borderId="71" xfId="45" applyNumberFormat="1" applyFont="1" applyFill="1" applyBorder="1" applyAlignment="1">
      <alignment horizontal="right" vertical="center"/>
    </xf>
    <xf numFmtId="173" fontId="113" fillId="52" borderId="72" xfId="45" applyNumberFormat="1" applyFont="1" applyFill="1" applyBorder="1" applyAlignment="1">
      <alignment horizontal="right" vertical="center"/>
    </xf>
    <xf numFmtId="173" fontId="113" fillId="52" borderId="72" xfId="0" applyNumberFormat="1" applyFont="1" applyFill="1" applyBorder="1" applyAlignment="1">
      <alignment horizontal="right" vertical="center"/>
    </xf>
    <xf numFmtId="0" fontId="112" fillId="52" borderId="69" xfId="0" applyFont="1" applyFill="1" applyBorder="1" applyAlignment="1">
      <alignment vertical="center" wrapText="1"/>
    </xf>
    <xf numFmtId="173" fontId="112" fillId="52" borderId="70" xfId="45" applyNumberFormat="1" applyFont="1" applyFill="1" applyBorder="1" applyAlignment="1">
      <alignment horizontal="right" vertical="center"/>
    </xf>
    <xf numFmtId="173" fontId="112" fillId="52" borderId="71" xfId="45" applyNumberFormat="1" applyFont="1" applyFill="1" applyBorder="1" applyAlignment="1">
      <alignment horizontal="right" vertical="center"/>
    </xf>
    <xf numFmtId="173" fontId="112" fillId="52" borderId="72" xfId="45" applyNumberFormat="1" applyFont="1" applyFill="1" applyBorder="1" applyAlignment="1">
      <alignment horizontal="right" vertical="center"/>
    </xf>
    <xf numFmtId="0" fontId="113" fillId="0" borderId="73" xfId="0" applyFont="1" applyBorder="1" applyAlignment="1">
      <alignment horizontal="left" vertical="center" wrapText="1" indent="4"/>
    </xf>
    <xf numFmtId="173" fontId="113" fillId="0" borderId="74" xfId="45" applyNumberFormat="1" applyFont="1" applyBorder="1" applyAlignment="1">
      <alignment horizontal="right" vertical="center"/>
    </xf>
    <xf numFmtId="173" fontId="113" fillId="0" borderId="75" xfId="45" applyNumberFormat="1" applyFont="1" applyBorder="1" applyAlignment="1">
      <alignment horizontal="right" vertical="center"/>
    </xf>
    <xf numFmtId="173" fontId="113" fillId="0" borderId="76" xfId="45" applyNumberFormat="1" applyFont="1" applyBorder="1" applyAlignment="1">
      <alignment horizontal="right" vertical="center"/>
    </xf>
    <xf numFmtId="0" fontId="109" fillId="53" borderId="77" xfId="0" applyFont="1" applyFill="1" applyBorder="1" applyAlignment="1">
      <alignment/>
    </xf>
    <xf numFmtId="187" fontId="113" fillId="0" borderId="72" xfId="0" applyNumberFormat="1" applyFont="1" applyBorder="1" applyAlignment="1">
      <alignment horizontal="right" vertical="center"/>
    </xf>
    <xf numFmtId="187" fontId="113" fillId="52" borderId="72" xfId="0" applyNumberFormat="1" applyFont="1" applyFill="1" applyBorder="1" applyAlignment="1">
      <alignment horizontal="right" vertical="center"/>
    </xf>
    <xf numFmtId="187" fontId="113" fillId="0" borderId="76" xfId="0" applyNumberFormat="1" applyFont="1" applyBorder="1" applyAlignment="1">
      <alignment horizontal="right" vertical="center"/>
    </xf>
    <xf numFmtId="0" fontId="113" fillId="0" borderId="0" xfId="0" applyFont="1" applyBorder="1" applyAlignment="1">
      <alignment horizontal="left" vertical="center" wrapText="1" indent="4"/>
    </xf>
    <xf numFmtId="187" fontId="113" fillId="0" borderId="0" xfId="0" applyNumberFormat="1" applyFont="1" applyBorder="1" applyAlignment="1">
      <alignment horizontal="right" vertical="center"/>
    </xf>
    <xf numFmtId="173" fontId="112" fillId="52" borderId="72" xfId="0" applyNumberFormat="1" applyFont="1" applyFill="1" applyBorder="1" applyAlignment="1">
      <alignment horizontal="right" vertical="center"/>
    </xf>
    <xf numFmtId="173" fontId="113" fillId="0" borderId="76" xfId="0" applyNumberFormat="1" applyFont="1" applyBorder="1" applyAlignment="1">
      <alignment horizontal="right" vertical="center"/>
    </xf>
    <xf numFmtId="173" fontId="113" fillId="0" borderId="0" xfId="45" applyNumberFormat="1" applyFont="1" applyBorder="1" applyAlignment="1">
      <alignment horizontal="right" vertical="center"/>
    </xf>
    <xf numFmtId="187" fontId="110" fillId="0" borderId="0" xfId="0" applyNumberFormat="1" applyFont="1" applyAlignment="1">
      <alignment/>
    </xf>
    <xf numFmtId="0" fontId="114" fillId="0" borderId="0" xfId="0" applyFont="1" applyAlignment="1">
      <alignment wrapText="1"/>
    </xf>
    <xf numFmtId="0" fontId="114" fillId="0" borderId="0" xfId="0" applyFont="1" applyAlignment="1">
      <alignment/>
    </xf>
    <xf numFmtId="0" fontId="110" fillId="0" borderId="0" xfId="0" applyFont="1" applyFill="1" applyAlignment="1">
      <alignment/>
    </xf>
    <xf numFmtId="175" fontId="112" fillId="52" borderId="72" xfId="45" applyNumberFormat="1" applyFont="1" applyFill="1" applyBorder="1" applyAlignment="1">
      <alignment horizontal="right" vertical="center"/>
    </xf>
    <xf numFmtId="0" fontId="114" fillId="46" borderId="0" xfId="0" applyFont="1" applyFill="1" applyAlignment="1">
      <alignment/>
    </xf>
    <xf numFmtId="0" fontId="114" fillId="0" borderId="0" xfId="0" applyFont="1" applyFill="1" applyAlignment="1">
      <alignment/>
    </xf>
    <xf numFmtId="0" fontId="110" fillId="46" borderId="0" xfId="304" applyFont="1" applyFill="1" applyBorder="1">
      <alignment/>
      <protection/>
    </xf>
    <xf numFmtId="0" fontId="110" fillId="46" borderId="0" xfId="0" applyFont="1" applyFill="1" applyBorder="1" applyAlignment="1">
      <alignment/>
    </xf>
    <xf numFmtId="0" fontId="109" fillId="46" borderId="0" xfId="0" applyFont="1" applyFill="1" applyBorder="1" applyAlignment="1">
      <alignment/>
    </xf>
    <xf numFmtId="17" fontId="115" fillId="53" borderId="78" xfId="0" applyNumberFormat="1" applyFont="1" applyFill="1" applyBorder="1" applyAlignment="1" quotePrefix="1">
      <alignment horizontal="center" vertical="center"/>
    </xf>
    <xf numFmtId="0" fontId="112" fillId="53" borderId="79" xfId="0" applyFont="1" applyFill="1" applyBorder="1" applyAlignment="1">
      <alignment vertical="center"/>
    </xf>
    <xf numFmtId="0" fontId="105" fillId="54" borderId="0" xfId="0" applyFont="1" applyFill="1" applyBorder="1" applyAlignment="1">
      <alignment/>
    </xf>
    <xf numFmtId="17" fontId="116" fillId="53" borderId="3" xfId="0" applyNumberFormat="1" applyFont="1" applyFill="1" applyBorder="1" applyAlignment="1" quotePrefix="1">
      <alignment horizontal="center" vertical="center"/>
    </xf>
    <xf numFmtId="0" fontId="117" fillId="2" borderId="80" xfId="0" applyFont="1" applyFill="1" applyBorder="1" applyAlignment="1">
      <alignment horizontal="left" vertical="center" wrapText="1"/>
    </xf>
    <xf numFmtId="187" fontId="117" fillId="2" borderId="70" xfId="0" applyNumberFormat="1" applyFont="1" applyFill="1" applyBorder="1" applyAlignment="1">
      <alignment horizontal="right" vertical="center" wrapText="1"/>
    </xf>
    <xf numFmtId="0" fontId="117" fillId="55" borderId="80" xfId="0" applyFont="1" applyFill="1" applyBorder="1" applyAlignment="1">
      <alignment horizontal="left" vertical="center" wrapText="1"/>
    </xf>
    <xf numFmtId="187" fontId="117" fillId="56" borderId="70" xfId="0" applyNumberFormat="1" applyFont="1" applyFill="1" applyBorder="1" applyAlignment="1">
      <alignment horizontal="right" vertical="center" wrapText="1"/>
    </xf>
    <xf numFmtId="187" fontId="12" fillId="2" borderId="70" xfId="0" applyNumberFormat="1" applyFont="1" applyFill="1" applyBorder="1" applyAlignment="1">
      <alignment horizontal="right" vertical="center" wrapText="1"/>
    </xf>
    <xf numFmtId="0" fontId="116" fillId="57" borderId="81" xfId="0" applyFont="1" applyFill="1" applyBorder="1" applyAlignment="1">
      <alignment horizontal="left" vertical="center" wrapText="1"/>
    </xf>
    <xf numFmtId="187" fontId="116" fillId="58" borderId="74" xfId="0" applyNumberFormat="1" applyFont="1" applyFill="1" applyBorder="1" applyAlignment="1">
      <alignment horizontal="right" vertical="center" wrapText="1"/>
    </xf>
    <xf numFmtId="187" fontId="107" fillId="59" borderId="0" xfId="0" applyNumberFormat="1" applyFont="1" applyFill="1" applyBorder="1" applyAlignment="1">
      <alignment/>
    </xf>
    <xf numFmtId="17" fontId="116" fillId="53" borderId="66" xfId="0" applyNumberFormat="1" applyFont="1" applyFill="1" applyBorder="1" applyAlignment="1" quotePrefix="1">
      <alignment horizontal="center" vertical="center"/>
    </xf>
    <xf numFmtId="17" fontId="116" fillId="53" borderId="67" xfId="0" applyNumberFormat="1" applyFont="1" applyFill="1" applyBorder="1" applyAlignment="1" quotePrefix="1">
      <alignment horizontal="center" vertical="center"/>
    </xf>
    <xf numFmtId="0" fontId="117" fillId="2" borderId="69" xfId="0" applyFont="1" applyFill="1" applyBorder="1" applyAlignment="1">
      <alignment horizontal="left" vertical="center" wrapText="1"/>
    </xf>
    <xf numFmtId="0" fontId="117" fillId="60" borderId="69" xfId="0" applyFont="1" applyFill="1" applyBorder="1" applyAlignment="1">
      <alignment horizontal="left" vertical="center" wrapText="1"/>
    </xf>
    <xf numFmtId="0" fontId="116" fillId="61" borderId="73" xfId="0" applyFont="1" applyFill="1" applyBorder="1" applyAlignment="1">
      <alignment horizontal="left" vertical="center" wrapText="1"/>
    </xf>
    <xf numFmtId="0" fontId="116" fillId="62" borderId="74" xfId="0" applyFont="1" applyFill="1" applyBorder="1" applyAlignment="1">
      <alignment horizontal="right" vertical="center" wrapText="1"/>
    </xf>
    <xf numFmtId="0" fontId="116" fillId="53" borderId="18" xfId="0" applyFont="1" applyFill="1" applyBorder="1" applyAlignment="1">
      <alignment horizontal="center" vertical="center"/>
    </xf>
    <xf numFmtId="0" fontId="116" fillId="53" borderId="19" xfId="0" applyFont="1" applyFill="1" applyBorder="1" applyAlignment="1">
      <alignment vertical="center" wrapText="1"/>
    </xf>
    <xf numFmtId="187" fontId="117" fillId="2" borderId="71" xfId="0" applyNumberFormat="1" applyFont="1" applyFill="1" applyBorder="1" applyAlignment="1">
      <alignment horizontal="right" vertical="center" wrapText="1"/>
    </xf>
    <xf numFmtId="187" fontId="117" fillId="63" borderId="71" xfId="0" applyNumberFormat="1" applyFont="1" applyFill="1" applyBorder="1" applyAlignment="1">
      <alignment horizontal="right" vertical="center" wrapText="1"/>
    </xf>
    <xf numFmtId="187" fontId="12" fillId="2" borderId="71" xfId="0" applyNumberFormat="1" applyFont="1" applyFill="1" applyBorder="1" applyAlignment="1">
      <alignment horizontal="right" vertical="center" wrapText="1"/>
    </xf>
    <xf numFmtId="187" fontId="116" fillId="64" borderId="75" xfId="0" applyNumberFormat="1" applyFont="1" applyFill="1" applyBorder="1" applyAlignment="1">
      <alignment horizontal="right" vertical="center" wrapText="1"/>
    </xf>
    <xf numFmtId="175" fontId="107" fillId="65" borderId="0" xfId="45" applyNumberFormat="1" applyFont="1" applyFill="1" applyBorder="1" applyAlignment="1">
      <alignment/>
    </xf>
    <xf numFmtId="38" fontId="107" fillId="66" borderId="0" xfId="0" applyNumberFormat="1" applyFont="1" applyFill="1" applyBorder="1" applyAlignment="1">
      <alignment/>
    </xf>
    <xf numFmtId="175" fontId="107" fillId="67" borderId="0" xfId="0" applyNumberFormat="1" applyFont="1" applyFill="1" applyBorder="1" applyAlignment="1">
      <alignment/>
    </xf>
    <xf numFmtId="175" fontId="112" fillId="52" borderId="71" xfId="45" applyNumberFormat="1" applyFont="1" applyFill="1" applyBorder="1" applyAlignment="1">
      <alignment horizontal="right" vertical="center"/>
    </xf>
    <xf numFmtId="173" fontId="113" fillId="0" borderId="72" xfId="0" applyNumberFormat="1" applyFont="1" applyBorder="1" applyAlignment="1">
      <alignment horizontal="left" vertical="center"/>
    </xf>
    <xf numFmtId="0" fontId="116" fillId="53" borderId="18" xfId="0" applyFont="1" applyFill="1" applyBorder="1" applyAlignment="1">
      <alignment vertical="center" wrapText="1"/>
    </xf>
    <xf numFmtId="0" fontId="105" fillId="68" borderId="18" xfId="0" applyFont="1" applyFill="1" applyBorder="1" applyAlignment="1">
      <alignment/>
    </xf>
    <xf numFmtId="0" fontId="105" fillId="68" borderId="19" xfId="0" applyFont="1" applyFill="1" applyBorder="1" applyAlignment="1">
      <alignment/>
    </xf>
    <xf numFmtId="0" fontId="116" fillId="69" borderId="0" xfId="0" applyFont="1" applyFill="1" applyBorder="1" applyAlignment="1">
      <alignment horizontal="left" vertical="center" wrapText="1"/>
    </xf>
    <xf numFmtId="187" fontId="116" fillId="70" borderId="0" xfId="0" applyNumberFormat="1" applyFont="1" applyFill="1" applyBorder="1" applyAlignment="1">
      <alignment horizontal="right" vertical="center" wrapText="1"/>
    </xf>
    <xf numFmtId="173" fontId="117" fillId="71" borderId="70" xfId="45" applyNumberFormat="1" applyFont="1" applyFill="1" applyBorder="1" applyAlignment="1">
      <alignment horizontal="right" vertical="center" wrapText="1"/>
    </xf>
    <xf numFmtId="173" fontId="117" fillId="2" borderId="70" xfId="45" applyNumberFormat="1" applyFont="1" applyFill="1" applyBorder="1" applyAlignment="1">
      <alignment horizontal="right" vertical="center" wrapText="1"/>
    </xf>
    <xf numFmtId="173" fontId="12" fillId="2" borderId="70" xfId="45" applyNumberFormat="1" applyFont="1" applyFill="1" applyBorder="1" applyAlignment="1">
      <alignment horizontal="right" vertical="center" wrapText="1"/>
    </xf>
    <xf numFmtId="181" fontId="13" fillId="72" borderId="3" xfId="0" applyNumberFormat="1" applyFont="1" applyFill="1" applyBorder="1" applyAlignment="1">
      <alignment horizontal="right" vertical="center"/>
    </xf>
    <xf numFmtId="181" fontId="13" fillId="73" borderId="3" xfId="0" applyNumberFormat="1" applyFont="1" applyFill="1" applyBorder="1" applyAlignment="1">
      <alignment horizontal="right" vertical="center"/>
    </xf>
    <xf numFmtId="17" fontId="116" fillId="53" borderId="18" xfId="0" applyNumberFormat="1" applyFont="1" applyFill="1" applyBorder="1" applyAlignment="1" quotePrefix="1">
      <alignment horizontal="center" vertical="center"/>
    </xf>
    <xf numFmtId="173" fontId="117" fillId="2" borderId="71" xfId="45" applyNumberFormat="1" applyFont="1" applyFill="1" applyBorder="1" applyAlignment="1">
      <alignment horizontal="right" vertical="center" wrapText="1"/>
    </xf>
    <xf numFmtId="173" fontId="117" fillId="74" borderId="71" xfId="45" applyNumberFormat="1" applyFont="1" applyFill="1" applyBorder="1" applyAlignment="1">
      <alignment horizontal="right" vertical="center" wrapText="1"/>
    </xf>
    <xf numFmtId="173" fontId="12" fillId="2" borderId="71" xfId="45" applyNumberFormat="1" applyFont="1" applyFill="1" applyBorder="1" applyAlignment="1">
      <alignment horizontal="right" vertical="center" wrapText="1"/>
    </xf>
    <xf numFmtId="175" fontId="112" fillId="52" borderId="68" xfId="0" applyNumberFormat="1" applyFont="1" applyFill="1" applyBorder="1" applyAlignment="1">
      <alignment horizontal="right" vertical="center"/>
    </xf>
    <xf numFmtId="175" fontId="112" fillId="52" borderId="65" xfId="45" applyNumberFormat="1" applyFont="1" applyFill="1" applyBorder="1" applyAlignment="1">
      <alignment vertical="center" wrapText="1"/>
    </xf>
    <xf numFmtId="175" fontId="112" fillId="52" borderId="66" xfId="45" applyNumberFormat="1" applyFont="1" applyFill="1" applyBorder="1" applyAlignment="1">
      <alignment horizontal="right" vertical="center"/>
    </xf>
    <xf numFmtId="175" fontId="112" fillId="52" borderId="67" xfId="45" applyNumberFormat="1" applyFont="1" applyFill="1" applyBorder="1" applyAlignment="1">
      <alignment horizontal="right" vertical="center"/>
    </xf>
    <xf numFmtId="175" fontId="112" fillId="52" borderId="68" xfId="45" applyNumberFormat="1" applyFont="1" applyFill="1" applyBorder="1" applyAlignment="1">
      <alignment horizontal="right" vertical="center"/>
    </xf>
    <xf numFmtId="175" fontId="110" fillId="0" borderId="0" xfId="45" applyNumberFormat="1" applyFont="1" applyAlignment="1">
      <alignment/>
    </xf>
    <xf numFmtId="175" fontId="112" fillId="52" borderId="65" xfId="0" applyNumberFormat="1" applyFont="1" applyFill="1" applyBorder="1" applyAlignment="1">
      <alignment vertical="center" wrapText="1"/>
    </xf>
    <xf numFmtId="175" fontId="110" fillId="0" borderId="0" xfId="0" applyNumberFormat="1" applyFont="1" applyAlignment="1">
      <alignment/>
    </xf>
    <xf numFmtId="0" fontId="109" fillId="53" borderId="77" xfId="0" applyFont="1" applyFill="1" applyBorder="1" applyAlignment="1">
      <alignment horizontal="center" vertical="center"/>
    </xf>
    <xf numFmtId="17" fontId="116" fillId="53" borderId="3" xfId="0" applyNumberFormat="1" applyFont="1" applyFill="1" applyBorder="1" applyAlignment="1" quotePrefix="1">
      <alignment horizontal="right"/>
    </xf>
    <xf numFmtId="17" fontId="116" fillId="53" borderId="3" xfId="0" applyNumberFormat="1" applyFont="1" applyFill="1" applyBorder="1" applyAlignment="1" quotePrefix="1">
      <alignment horizontal="right" vertical="center"/>
    </xf>
    <xf numFmtId="3" fontId="118" fillId="46" borderId="3" xfId="0" applyNumberFormat="1" applyFont="1" applyFill="1" applyBorder="1" applyAlignment="1">
      <alignment horizontal="right" vertical="center"/>
    </xf>
    <xf numFmtId="0" fontId="116" fillId="75" borderId="74" xfId="0" applyNumberFormat="1" applyFont="1" applyFill="1" applyBorder="1" applyAlignment="1">
      <alignment horizontal="right" vertical="center" wrapText="1"/>
    </xf>
    <xf numFmtId="0" fontId="105" fillId="68" borderId="19" xfId="0" applyFont="1" applyFill="1" applyBorder="1" applyAlignment="1">
      <alignment horizontal="center"/>
    </xf>
    <xf numFmtId="17" fontId="14" fillId="53" borderId="82" xfId="0" applyNumberFormat="1" applyFont="1" applyFill="1" applyBorder="1" applyAlignment="1" quotePrefix="1">
      <alignment horizontal="center" vertical="center"/>
    </xf>
    <xf numFmtId="173" fontId="15" fillId="52" borderId="83" xfId="0" applyNumberFormat="1" applyFont="1" applyFill="1" applyBorder="1" applyAlignment="1">
      <alignment horizontal="right" vertical="center"/>
    </xf>
    <xf numFmtId="173" fontId="113" fillId="0" borderId="71" xfId="0" applyNumberFormat="1" applyFont="1" applyBorder="1" applyAlignment="1">
      <alignment horizontal="left" vertical="center"/>
    </xf>
    <xf numFmtId="3" fontId="110" fillId="0" borderId="84" xfId="0" applyNumberFormat="1" applyFont="1" applyBorder="1" applyAlignment="1">
      <alignment/>
    </xf>
    <xf numFmtId="173" fontId="16" fillId="0" borderId="83" xfId="0" applyNumberFormat="1" applyFont="1" applyBorder="1" applyAlignment="1">
      <alignment horizontal="left" vertical="center"/>
    </xf>
    <xf numFmtId="3" fontId="12" fillId="0" borderId="85" xfId="45" applyNumberFormat="1" applyFont="1" applyFill="1" applyBorder="1" applyAlignment="1">
      <alignment/>
    </xf>
    <xf numFmtId="3" fontId="107" fillId="9" borderId="86" xfId="45" applyNumberFormat="1" applyFont="1" applyFill="1" applyBorder="1" applyAlignment="1">
      <alignment/>
    </xf>
    <xf numFmtId="3" fontId="12" fillId="0" borderId="87" xfId="45" applyNumberFormat="1" applyFont="1" applyFill="1" applyBorder="1" applyAlignment="1">
      <alignment/>
    </xf>
    <xf numFmtId="173" fontId="112" fillId="52" borderId="67" xfId="0" applyNumberFormat="1" applyFont="1" applyFill="1" applyBorder="1" applyAlignment="1">
      <alignment horizontal="right" vertical="center"/>
    </xf>
    <xf numFmtId="173" fontId="113" fillId="52" borderId="71" xfId="0" applyNumberFormat="1" applyFont="1" applyFill="1" applyBorder="1" applyAlignment="1">
      <alignment horizontal="right" vertical="center"/>
    </xf>
    <xf numFmtId="173" fontId="113" fillId="0" borderId="71" xfId="0" applyNumberFormat="1" applyFont="1" applyBorder="1" applyAlignment="1">
      <alignment horizontal="right" vertical="center"/>
    </xf>
    <xf numFmtId="17" fontId="115" fillId="53" borderId="88" xfId="0" applyNumberFormat="1" applyFont="1" applyFill="1" applyBorder="1" applyAlignment="1" quotePrefix="1">
      <alignment horizontal="center" vertical="center"/>
    </xf>
    <xf numFmtId="175" fontId="112" fillId="52" borderId="67" xfId="0" applyNumberFormat="1" applyFont="1" applyFill="1" applyBorder="1" applyAlignment="1">
      <alignment horizontal="right" vertical="center"/>
    </xf>
    <xf numFmtId="17" fontId="115" fillId="53" borderId="89" xfId="0" applyNumberFormat="1" applyFont="1" applyFill="1" applyBorder="1" applyAlignment="1" quotePrefix="1">
      <alignment horizontal="center" vertical="center"/>
    </xf>
    <xf numFmtId="173" fontId="112" fillId="52" borderId="71" xfId="0" applyNumberFormat="1" applyFont="1" applyFill="1" applyBorder="1" applyAlignment="1">
      <alignment horizontal="right" vertical="center"/>
    </xf>
    <xf numFmtId="173" fontId="113" fillId="0" borderId="75" xfId="0" applyNumberFormat="1" applyFont="1" applyBorder="1" applyAlignment="1">
      <alignment horizontal="right" vertical="center"/>
    </xf>
    <xf numFmtId="17" fontId="115" fillId="53" borderId="3" xfId="0" applyNumberFormat="1" applyFont="1" applyFill="1" applyBorder="1" applyAlignment="1" quotePrefix="1">
      <alignment horizontal="center" vertical="center"/>
    </xf>
    <xf numFmtId="175" fontId="119" fillId="0" borderId="90" xfId="0" applyNumberFormat="1" applyFont="1" applyBorder="1" applyAlignment="1">
      <alignment/>
    </xf>
    <xf numFmtId="175" fontId="120" fillId="0" borderId="91" xfId="0" applyNumberFormat="1" applyFont="1" applyBorder="1" applyAlignment="1">
      <alignment/>
    </xf>
    <xf numFmtId="175" fontId="119" fillId="2" borderId="92" xfId="0" applyNumberFormat="1" applyFont="1" applyFill="1" applyBorder="1" applyAlignment="1">
      <alignment/>
    </xf>
    <xf numFmtId="175" fontId="119" fillId="2" borderId="90" xfId="0" applyNumberFormat="1" applyFont="1" applyFill="1" applyBorder="1" applyAlignment="1">
      <alignment/>
    </xf>
    <xf numFmtId="175" fontId="119" fillId="2" borderId="91" xfId="0" applyNumberFormat="1" applyFont="1" applyFill="1" applyBorder="1" applyAlignment="1">
      <alignment/>
    </xf>
    <xf numFmtId="0" fontId="90" fillId="0" borderId="0" xfId="0" applyFont="1" applyFill="1" applyAlignment="1">
      <alignment/>
    </xf>
    <xf numFmtId="175" fontId="0" fillId="2" borderId="90" xfId="0" applyNumberFormat="1" applyFont="1" applyFill="1" applyBorder="1" applyAlignment="1">
      <alignment/>
    </xf>
    <xf numFmtId="173" fontId="112" fillId="52" borderId="3" xfId="45" applyNumberFormat="1" applyFont="1" applyFill="1" applyBorder="1" applyAlignment="1">
      <alignment horizontal="right" vertical="center"/>
    </xf>
    <xf numFmtId="173" fontId="113" fillId="0" borderId="3" xfId="0" applyNumberFormat="1" applyFont="1" applyBorder="1" applyAlignment="1">
      <alignment horizontal="left" vertical="center"/>
    </xf>
    <xf numFmtId="173" fontId="113" fillId="52" borderId="3" xfId="0" applyNumberFormat="1" applyFont="1" applyFill="1" applyBorder="1" applyAlignment="1">
      <alignment horizontal="right" vertical="center"/>
    </xf>
    <xf numFmtId="173" fontId="113" fillId="0" borderId="3" xfId="0" applyNumberFormat="1" applyFont="1" applyBorder="1" applyAlignment="1">
      <alignment horizontal="right" vertical="center"/>
    </xf>
    <xf numFmtId="173" fontId="112" fillId="52" borderId="3" xfId="0" applyNumberFormat="1" applyFont="1" applyFill="1" applyBorder="1" applyAlignment="1">
      <alignment horizontal="right" vertical="center"/>
    </xf>
    <xf numFmtId="173" fontId="113" fillId="0" borderId="3" xfId="45" applyNumberFormat="1" applyFont="1" applyBorder="1" applyAlignment="1">
      <alignment horizontal="right" vertical="center"/>
    </xf>
    <xf numFmtId="3" fontId="110" fillId="9" borderId="3" xfId="45" applyNumberFormat="1" applyFont="1" applyFill="1" applyBorder="1" applyAlignment="1">
      <alignment vertical="center"/>
    </xf>
    <xf numFmtId="3" fontId="110" fillId="0" borderId="3" xfId="45" applyNumberFormat="1" applyFont="1" applyFill="1" applyBorder="1" applyAlignment="1">
      <alignment vertical="center"/>
    </xf>
    <xf numFmtId="3" fontId="15" fillId="0" borderId="3" xfId="45" applyNumberFormat="1" applyFont="1" applyFill="1" applyBorder="1" applyAlignment="1">
      <alignment vertical="center"/>
    </xf>
    <xf numFmtId="3" fontId="109" fillId="9" borderId="3" xfId="45" applyNumberFormat="1" applyFont="1" applyFill="1" applyBorder="1" applyAlignment="1">
      <alignment vertical="center"/>
    </xf>
    <xf numFmtId="173" fontId="117" fillId="2" borderId="3" xfId="45" applyNumberFormat="1" applyFont="1" applyFill="1" applyBorder="1" applyAlignment="1">
      <alignment horizontal="right" vertical="center" wrapText="1"/>
    </xf>
    <xf numFmtId="173" fontId="117" fillId="76" borderId="3" xfId="45" applyNumberFormat="1" applyFont="1" applyFill="1" applyBorder="1" applyAlignment="1">
      <alignment horizontal="right" vertical="center" wrapText="1"/>
    </xf>
    <xf numFmtId="173" fontId="12" fillId="2" borderId="3" xfId="45" applyNumberFormat="1" applyFont="1" applyFill="1" applyBorder="1" applyAlignment="1">
      <alignment horizontal="right" vertical="center" wrapText="1"/>
    </xf>
    <xf numFmtId="187" fontId="116" fillId="77" borderId="3" xfId="0" applyNumberFormat="1" applyFont="1" applyFill="1" applyBorder="1" applyAlignment="1">
      <alignment horizontal="right" vertical="center" wrapText="1"/>
    </xf>
    <xf numFmtId="175" fontId="110" fillId="2" borderId="92" xfId="0" applyNumberFormat="1" applyFont="1" applyFill="1" applyBorder="1" applyAlignment="1">
      <alignment horizontal="right" vertical="center"/>
    </xf>
    <xf numFmtId="175" fontId="110" fillId="0" borderId="90" xfId="0" applyNumberFormat="1" applyFont="1" applyBorder="1" applyAlignment="1">
      <alignment horizontal="right" vertical="center"/>
    </xf>
    <xf numFmtId="175" fontId="110" fillId="2" borderId="90" xfId="0" applyNumberFormat="1" applyFont="1" applyFill="1" applyBorder="1" applyAlignment="1">
      <alignment horizontal="right" vertical="center"/>
    </xf>
    <xf numFmtId="175" fontId="110" fillId="2" borderId="91" xfId="0" applyNumberFormat="1" applyFont="1" applyFill="1" applyBorder="1" applyAlignment="1">
      <alignment horizontal="right" vertical="center"/>
    </xf>
    <xf numFmtId="175" fontId="109" fillId="0" borderId="91" xfId="0" applyNumberFormat="1" applyFont="1" applyBorder="1" applyAlignment="1">
      <alignment horizontal="right" vertical="center"/>
    </xf>
    <xf numFmtId="0" fontId="107" fillId="68" borderId="19" xfId="0" applyFont="1" applyFill="1" applyBorder="1" applyAlignment="1">
      <alignment/>
    </xf>
    <xf numFmtId="0" fontId="107" fillId="68" borderId="20" xfId="0" applyFont="1" applyFill="1" applyBorder="1" applyAlignment="1">
      <alignment/>
    </xf>
    <xf numFmtId="0" fontId="107" fillId="68" borderId="18" xfId="0" applyFont="1" applyFill="1" applyBorder="1" applyAlignment="1">
      <alignment/>
    </xf>
    <xf numFmtId="0" fontId="107" fillId="68" borderId="19" xfId="0" applyFont="1" applyFill="1" applyBorder="1" applyAlignment="1">
      <alignment horizontal="center"/>
    </xf>
    <xf numFmtId="175" fontId="113" fillId="52" borderId="3" xfId="0" applyNumberFormat="1" applyFont="1" applyFill="1" applyBorder="1" applyAlignment="1">
      <alignment horizontal="right" vertical="center"/>
    </xf>
    <xf numFmtId="175" fontId="113" fillId="0" borderId="3" xfId="0" applyNumberFormat="1" applyFont="1" applyBorder="1" applyAlignment="1">
      <alignment horizontal="right" vertical="center"/>
    </xf>
    <xf numFmtId="175" fontId="112" fillId="52" borderId="3" xfId="45" applyNumberFormat="1" applyFont="1" applyFill="1" applyBorder="1" applyAlignment="1">
      <alignment horizontal="right" vertical="center"/>
    </xf>
    <xf numFmtId="175" fontId="113" fillId="0" borderId="3" xfId="45" applyNumberFormat="1" applyFont="1" applyBorder="1" applyAlignment="1">
      <alignment horizontal="right" vertical="center"/>
    </xf>
    <xf numFmtId="175" fontId="110" fillId="0" borderId="0" xfId="45" applyNumberFormat="1" applyFont="1" applyAlignment="1">
      <alignment/>
    </xf>
    <xf numFmtId="175" fontId="112" fillId="52" borderId="3" xfId="0" applyNumberFormat="1" applyFont="1" applyFill="1" applyBorder="1" applyAlignment="1">
      <alignment horizontal="right" vertical="center"/>
    </xf>
    <xf numFmtId="175" fontId="113" fillId="0" borderId="3" xfId="0" applyNumberFormat="1" applyFont="1" applyBorder="1" applyAlignment="1">
      <alignment horizontal="left" vertical="center"/>
    </xf>
    <xf numFmtId="3" fontId="110" fillId="0" borderId="3" xfId="45" applyNumberFormat="1" applyFont="1" applyFill="1" applyBorder="1" applyAlignment="1">
      <alignment/>
    </xf>
    <xf numFmtId="0" fontId="105" fillId="0" borderId="0" xfId="0" applyFont="1" applyFill="1" applyBorder="1" applyAlignment="1">
      <alignment/>
    </xf>
    <xf numFmtId="17" fontId="116" fillId="0" borderId="0" xfId="0" applyNumberFormat="1" applyFont="1" applyFill="1" applyBorder="1" applyAlignment="1" quotePrefix="1">
      <alignment horizontal="center" vertical="center"/>
    </xf>
    <xf numFmtId="173" fontId="117" fillId="0" borderId="0" xfId="45" applyNumberFormat="1" applyFont="1" applyFill="1" applyBorder="1" applyAlignment="1">
      <alignment horizontal="right" vertical="center" wrapText="1"/>
    </xf>
    <xf numFmtId="173" fontId="12" fillId="0" borderId="0" xfId="45" applyNumberFormat="1" applyFont="1" applyFill="1" applyBorder="1" applyAlignment="1">
      <alignment horizontal="right" vertical="center" wrapText="1"/>
    </xf>
    <xf numFmtId="187" fontId="116" fillId="0" borderId="0" xfId="0" applyNumberFormat="1" applyFont="1" applyFill="1" applyBorder="1" applyAlignment="1">
      <alignment horizontal="right" vertical="center" wrapText="1"/>
    </xf>
    <xf numFmtId="0" fontId="107" fillId="78" borderId="93" xfId="0" applyFont="1" applyFill="1" applyBorder="1" applyAlignment="1">
      <alignment/>
    </xf>
    <xf numFmtId="0" fontId="107" fillId="0" borderId="0" xfId="0" applyFont="1" applyFill="1" applyBorder="1" applyAlignment="1">
      <alignment/>
    </xf>
    <xf numFmtId="175" fontId="107" fillId="2" borderId="92" xfId="0" applyNumberFormat="1" applyFont="1" applyFill="1" applyBorder="1" applyAlignment="1">
      <alignment/>
    </xf>
    <xf numFmtId="175" fontId="107" fillId="0" borderId="90" xfId="0" applyNumberFormat="1" applyFont="1" applyBorder="1" applyAlignment="1">
      <alignment/>
    </xf>
    <xf numFmtId="175" fontId="107" fillId="2" borderId="90" xfId="0" applyNumberFormat="1" applyFont="1" applyFill="1" applyBorder="1" applyAlignment="1">
      <alignment/>
    </xf>
    <xf numFmtId="175" fontId="107" fillId="2" borderId="91" xfId="0" applyNumberFormat="1" applyFont="1" applyFill="1" applyBorder="1" applyAlignment="1">
      <alignment/>
    </xf>
    <xf numFmtId="175" fontId="105" fillId="0" borderId="91" xfId="0" applyNumberFormat="1" applyFont="1" applyBorder="1" applyAlignment="1">
      <alignment/>
    </xf>
    <xf numFmtId="175" fontId="117" fillId="79" borderId="3" xfId="45" applyNumberFormat="1" applyFont="1" applyFill="1" applyBorder="1" applyAlignment="1">
      <alignment horizontal="right" vertical="center" wrapText="1"/>
    </xf>
    <xf numFmtId="175" fontId="117" fillId="2" borderId="3" xfId="45" applyNumberFormat="1" applyFont="1" applyFill="1" applyBorder="1" applyAlignment="1">
      <alignment horizontal="right" vertical="center" wrapText="1"/>
    </xf>
    <xf numFmtId="175" fontId="12" fillId="2" borderId="3" xfId="45" applyNumberFormat="1" applyFont="1" applyFill="1" applyBorder="1" applyAlignment="1">
      <alignment horizontal="right" vertical="center" wrapText="1"/>
    </xf>
    <xf numFmtId="1" fontId="116" fillId="80" borderId="3" xfId="0" applyNumberFormat="1" applyFont="1" applyFill="1" applyBorder="1" applyAlignment="1">
      <alignment horizontal="right" vertical="center" wrapText="1"/>
    </xf>
    <xf numFmtId="173" fontId="15" fillId="0" borderId="3" xfId="0" applyNumberFormat="1" applyFont="1" applyBorder="1" applyAlignment="1">
      <alignment horizontal="left" vertical="center"/>
    </xf>
    <xf numFmtId="173" fontId="15" fillId="52" borderId="3" xfId="0" applyNumberFormat="1" applyFont="1" applyFill="1" applyBorder="1" applyAlignment="1">
      <alignment horizontal="right" vertical="center"/>
    </xf>
    <xf numFmtId="173" fontId="17" fillId="52" borderId="3" xfId="45" applyNumberFormat="1" applyFont="1" applyFill="1" applyBorder="1" applyAlignment="1">
      <alignment horizontal="right" vertical="center"/>
    </xf>
    <xf numFmtId="43" fontId="110" fillId="0" borderId="0" xfId="0" applyNumberFormat="1" applyFont="1" applyAlignment="1">
      <alignment/>
    </xf>
    <xf numFmtId="173" fontId="15" fillId="0" borderId="3" xfId="0" applyNumberFormat="1" applyFont="1" applyBorder="1" applyAlignment="1">
      <alignment horizontal="right" vertical="center"/>
    </xf>
    <xf numFmtId="173" fontId="17" fillId="52" borderId="3" xfId="0" applyNumberFormat="1" applyFont="1" applyFill="1" applyBorder="1" applyAlignment="1">
      <alignment horizontal="right" vertical="center"/>
    </xf>
    <xf numFmtId="173" fontId="15" fillId="0" borderId="3" xfId="45" applyNumberFormat="1" applyFont="1" applyBorder="1" applyAlignment="1">
      <alignment horizontal="right" vertical="center"/>
    </xf>
    <xf numFmtId="17" fontId="116" fillId="53" borderId="20" xfId="0" applyNumberFormat="1" applyFont="1" applyFill="1" applyBorder="1" applyAlignment="1" quotePrefix="1">
      <alignment horizontal="center" vertical="center"/>
    </xf>
    <xf numFmtId="175" fontId="107" fillId="2" borderId="94" xfId="0" applyNumberFormat="1" applyFont="1" applyFill="1" applyBorder="1" applyAlignment="1">
      <alignment/>
    </xf>
    <xf numFmtId="175" fontId="107" fillId="0" borderId="95" xfId="0" applyNumberFormat="1" applyFont="1" applyBorder="1" applyAlignment="1">
      <alignment/>
    </xf>
    <xf numFmtId="175" fontId="107" fillId="2" borderId="95" xfId="0" applyNumberFormat="1" applyFont="1" applyFill="1" applyBorder="1" applyAlignment="1">
      <alignment/>
    </xf>
    <xf numFmtId="175" fontId="107" fillId="2" borderId="96" xfId="0" applyNumberFormat="1" applyFont="1" applyFill="1" applyBorder="1" applyAlignment="1">
      <alignment/>
    </xf>
    <xf numFmtId="175" fontId="105" fillId="0" borderId="96" xfId="0" applyNumberFormat="1" applyFont="1" applyBorder="1" applyAlignment="1">
      <alignment/>
    </xf>
    <xf numFmtId="3" fontId="121" fillId="0" borderId="0" xfId="0" applyNumberFormat="1" applyFont="1" applyFill="1" applyBorder="1" applyAlignment="1">
      <alignment/>
    </xf>
    <xf numFmtId="3" fontId="107" fillId="0" borderId="0" xfId="0" applyNumberFormat="1" applyFont="1" applyFill="1" applyBorder="1" applyAlignment="1">
      <alignment/>
    </xf>
    <xf numFmtId="3" fontId="122" fillId="0" borderId="0" xfId="0" applyNumberFormat="1" applyFont="1" applyFill="1" applyBorder="1" applyAlignment="1">
      <alignment/>
    </xf>
    <xf numFmtId="175" fontId="110" fillId="0" borderId="0" xfId="45" applyNumberFormat="1" applyFont="1" applyFill="1" applyAlignment="1">
      <alignment/>
    </xf>
    <xf numFmtId="43" fontId="110" fillId="0" borderId="0" xfId="0" applyNumberFormat="1" applyFont="1" applyFill="1" applyAlignment="1">
      <alignment/>
    </xf>
    <xf numFmtId="175" fontId="110" fillId="0" borderId="0" xfId="0" applyNumberFormat="1" applyFont="1" applyFill="1" applyAlignment="1">
      <alignment/>
    </xf>
    <xf numFmtId="175" fontId="107" fillId="2" borderId="97" xfId="0" applyNumberFormat="1" applyFont="1" applyFill="1" applyBorder="1" applyAlignment="1">
      <alignment/>
    </xf>
    <xf numFmtId="175" fontId="107" fillId="0" borderId="98" xfId="0" applyNumberFormat="1" applyFont="1" applyBorder="1" applyAlignment="1">
      <alignment/>
    </xf>
    <xf numFmtId="175" fontId="107" fillId="2" borderId="99" xfId="0" applyNumberFormat="1" applyFont="1" applyFill="1" applyBorder="1" applyAlignment="1">
      <alignment/>
    </xf>
    <xf numFmtId="175" fontId="105" fillId="0" borderId="99" xfId="0" applyNumberFormat="1" applyFont="1" applyBorder="1" applyAlignment="1">
      <alignment/>
    </xf>
    <xf numFmtId="17" fontId="90" fillId="0" borderId="0" xfId="0" applyNumberFormat="1" applyFont="1" applyFill="1" applyBorder="1" applyAlignment="1">
      <alignment horizontal="right"/>
    </xf>
    <xf numFmtId="175" fontId="0" fillId="0" borderId="0" xfId="0" applyNumberFormat="1" applyFont="1" applyBorder="1" applyAlignment="1">
      <alignment/>
    </xf>
    <xf numFmtId="175" fontId="92" fillId="0" borderId="0" xfId="0" applyNumberFormat="1" applyFont="1" applyBorder="1" applyAlignment="1">
      <alignment/>
    </xf>
    <xf numFmtId="0" fontId="107" fillId="68" borderId="19" xfId="0" applyFont="1" applyFill="1" applyBorder="1" applyAlignment="1">
      <alignment horizontal="center"/>
    </xf>
    <xf numFmtId="0" fontId="116" fillId="53" borderId="19" xfId="0" applyFont="1" applyFill="1" applyBorder="1" applyAlignment="1">
      <alignment horizontal="center" vertical="center" wrapText="1"/>
    </xf>
    <xf numFmtId="0" fontId="116" fillId="53" borderId="20" xfId="0" applyFont="1" applyFill="1" applyBorder="1" applyAlignment="1">
      <alignment horizontal="center" vertical="center" wrapText="1"/>
    </xf>
    <xf numFmtId="0" fontId="116" fillId="53" borderId="100" xfId="0" applyFont="1" applyFill="1" applyBorder="1" applyAlignment="1">
      <alignment horizontal="center" vertical="center" wrapText="1"/>
    </xf>
    <xf numFmtId="0" fontId="116" fillId="53" borderId="69" xfId="0" applyFont="1" applyFill="1" applyBorder="1" applyAlignment="1">
      <alignment horizontal="center" vertical="center" wrapText="1"/>
    </xf>
    <xf numFmtId="0" fontId="116" fillId="53" borderId="80" xfId="0" applyFont="1" applyFill="1" applyBorder="1" applyAlignment="1">
      <alignment horizontal="center" vertical="center" wrapText="1"/>
    </xf>
    <xf numFmtId="0" fontId="105" fillId="68" borderId="19" xfId="0" applyFont="1" applyFill="1" applyBorder="1" applyAlignment="1">
      <alignment horizontal="center"/>
    </xf>
    <xf numFmtId="0" fontId="104" fillId="45" borderId="64" xfId="0" applyFont="1" applyFill="1" applyBorder="1" applyAlignment="1">
      <alignment horizontal="center" wrapText="1"/>
    </xf>
    <xf numFmtId="0" fontId="104" fillId="45" borderId="54" xfId="0" applyFont="1" applyFill="1" applyBorder="1" applyAlignment="1">
      <alignment horizontal="center" wrapText="1"/>
    </xf>
    <xf numFmtId="210" fontId="104" fillId="45" borderId="101" xfId="256" applyNumberFormat="1" applyFont="1" applyFill="1" applyBorder="1" applyAlignment="1">
      <alignment horizontal="center" vertical="top"/>
    </xf>
    <xf numFmtId="210" fontId="104" fillId="45" borderId="102" xfId="256" applyNumberFormat="1" applyFont="1" applyFill="1" applyBorder="1" applyAlignment="1">
      <alignment horizontal="center" vertical="top"/>
    </xf>
    <xf numFmtId="210" fontId="104" fillId="45" borderId="103" xfId="256" applyNumberFormat="1" applyFont="1" applyFill="1" applyBorder="1" applyAlignment="1">
      <alignment horizontal="center" vertical="top"/>
    </xf>
    <xf numFmtId="0" fontId="104" fillId="45" borderId="64" xfId="0" applyFont="1" applyFill="1" applyBorder="1" applyAlignment="1">
      <alignment horizontal="center"/>
    </xf>
    <xf numFmtId="0" fontId="104" fillId="45" borderId="54" xfId="0" applyFont="1" applyFill="1" applyBorder="1" applyAlignment="1">
      <alignment horizontal="center"/>
    </xf>
  </cellXfs>
  <cellStyles count="418">
    <cellStyle name="Normal" xfId="0"/>
    <cellStyle name="20% - Accent1" xfId="15"/>
    <cellStyle name="20% - Accent2" xfId="16"/>
    <cellStyle name="20% - Accent3" xfId="17"/>
    <cellStyle name="20% - Accent3 2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alculation 2" xfId="42"/>
    <cellStyle name="Check Cell" xfId="43"/>
    <cellStyle name="ColHeadings" xfId="44"/>
    <cellStyle name="Comma" xfId="45"/>
    <cellStyle name="Comma [0]" xfId="46"/>
    <cellStyle name="Comma 10" xfId="47"/>
    <cellStyle name="Comma 10 2" xfId="48"/>
    <cellStyle name="Comma 10 3" xfId="49"/>
    <cellStyle name="Comma 11" xfId="50"/>
    <cellStyle name="Comma 12" xfId="51"/>
    <cellStyle name="Comma 13" xfId="52"/>
    <cellStyle name="Comma 14" xfId="53"/>
    <cellStyle name="Comma 15" xfId="54"/>
    <cellStyle name="Comma 16" xfId="55"/>
    <cellStyle name="Comma 16 2" xfId="56"/>
    <cellStyle name="Comma 17" xfId="57"/>
    <cellStyle name="Comma 17 2" xfId="58"/>
    <cellStyle name="Comma 18" xfId="59"/>
    <cellStyle name="Comma 18 2" xfId="60"/>
    <cellStyle name="Comma 19" xfId="61"/>
    <cellStyle name="Comma 2" xfId="62"/>
    <cellStyle name="Comma 2 10" xfId="63"/>
    <cellStyle name="Comma 2 101" xfId="64"/>
    <cellStyle name="Comma 2 11" xfId="65"/>
    <cellStyle name="Comma 2 12" xfId="66"/>
    <cellStyle name="Comma 2 13" xfId="67"/>
    <cellStyle name="Comma 2 14" xfId="68"/>
    <cellStyle name="Comma 2 15" xfId="69"/>
    <cellStyle name="Comma 2 16" xfId="70"/>
    <cellStyle name="Comma 2 17" xfId="71"/>
    <cellStyle name="Comma 2 18" xfId="72"/>
    <cellStyle name="Comma 2 19" xfId="73"/>
    <cellStyle name="Comma 2 2" xfId="74"/>
    <cellStyle name="Comma 2 2 10" xfId="75"/>
    <cellStyle name="Comma 2 2 11" xfId="76"/>
    <cellStyle name="Comma 2 2 12" xfId="77"/>
    <cellStyle name="Comma 2 2 13" xfId="78"/>
    <cellStyle name="Comma 2 2 14" xfId="79"/>
    <cellStyle name="Comma 2 2 15" xfId="80"/>
    <cellStyle name="Comma 2 2 16" xfId="81"/>
    <cellStyle name="Comma 2 2 17" xfId="82"/>
    <cellStyle name="Comma 2 2 18" xfId="83"/>
    <cellStyle name="Comma 2 2 19" xfId="84"/>
    <cellStyle name="Comma 2 2 2" xfId="85"/>
    <cellStyle name="Comma 2 2 2 10" xfId="86"/>
    <cellStyle name="Comma 2 2 2 11" xfId="87"/>
    <cellStyle name="Comma 2 2 2 12" xfId="88"/>
    <cellStyle name="Comma 2 2 2 13" xfId="89"/>
    <cellStyle name="Comma 2 2 2 14" xfId="90"/>
    <cellStyle name="Comma 2 2 2 15" xfId="91"/>
    <cellStyle name="Comma 2 2 2 16" xfId="92"/>
    <cellStyle name="Comma 2 2 2 17" xfId="93"/>
    <cellStyle name="Comma 2 2 2 18" xfId="94"/>
    <cellStyle name="Comma 2 2 2 19" xfId="95"/>
    <cellStyle name="Comma 2 2 2 2" xfId="96"/>
    <cellStyle name="Comma 2 2 2 2 2" xfId="97"/>
    <cellStyle name="Comma 2 2 2 20" xfId="98"/>
    <cellStyle name="Comma 2 2 2 3" xfId="99"/>
    <cellStyle name="Comma 2 2 2 4" xfId="100"/>
    <cellStyle name="Comma 2 2 2 5" xfId="101"/>
    <cellStyle name="Comma 2 2 2 6" xfId="102"/>
    <cellStyle name="Comma 2 2 2 7" xfId="103"/>
    <cellStyle name="Comma 2 2 2 8" xfId="104"/>
    <cellStyle name="Comma 2 2 2 9" xfId="105"/>
    <cellStyle name="Comma 2 2 20" xfId="106"/>
    <cellStyle name="Comma 2 2 21" xfId="107"/>
    <cellStyle name="Comma 2 2 22" xfId="108"/>
    <cellStyle name="Comma 2 2 23" xfId="109"/>
    <cellStyle name="Comma 2 2 24" xfId="110"/>
    <cellStyle name="Comma 2 2 25" xfId="111"/>
    <cellStyle name="Comma 2 2 26" xfId="112"/>
    <cellStyle name="Comma 2 2 27" xfId="113"/>
    <cellStyle name="Comma 2 2 28" xfId="114"/>
    <cellStyle name="Comma 2 2 29" xfId="115"/>
    <cellStyle name="Comma 2 2 3" xfId="116"/>
    <cellStyle name="Comma 2 2 30" xfId="117"/>
    <cellStyle name="Comma 2 2 31" xfId="118"/>
    <cellStyle name="Comma 2 2 32" xfId="119"/>
    <cellStyle name="Comma 2 2 33" xfId="120"/>
    <cellStyle name="Comma 2 2 34" xfId="121"/>
    <cellStyle name="Comma 2 2 35" xfId="122"/>
    <cellStyle name="Comma 2 2 36" xfId="123"/>
    <cellStyle name="Comma 2 2 37" xfId="124"/>
    <cellStyle name="Comma 2 2 37 2" xfId="125"/>
    <cellStyle name="Comma 2 2 38" xfId="126"/>
    <cellStyle name="Comma 2 2 39" xfId="127"/>
    <cellStyle name="Comma 2 2 4" xfId="128"/>
    <cellStyle name="Comma 2 2 40" xfId="129"/>
    <cellStyle name="Comma 2 2 41" xfId="130"/>
    <cellStyle name="Comma 2 2 42" xfId="131"/>
    <cellStyle name="Comma 2 2 43" xfId="132"/>
    <cellStyle name="Comma 2 2 44" xfId="133"/>
    <cellStyle name="Comma 2 2 45" xfId="134"/>
    <cellStyle name="Comma 2 2 46" xfId="135"/>
    <cellStyle name="Comma 2 2 47" xfId="136"/>
    <cellStyle name="Comma 2 2 48" xfId="137"/>
    <cellStyle name="Comma 2 2 49" xfId="138"/>
    <cellStyle name="Comma 2 2 5" xfId="139"/>
    <cellStyle name="Comma 2 2 50" xfId="140"/>
    <cellStyle name="Comma 2 2 51" xfId="141"/>
    <cellStyle name="Comma 2 2 52" xfId="142"/>
    <cellStyle name="Comma 2 2 53" xfId="143"/>
    <cellStyle name="Comma 2 2 54" xfId="144"/>
    <cellStyle name="Comma 2 2 6" xfId="145"/>
    <cellStyle name="Comma 2 2 7" xfId="146"/>
    <cellStyle name="Comma 2 2 8" xfId="147"/>
    <cellStyle name="Comma 2 2 9" xfId="148"/>
    <cellStyle name="Comma 2 20" xfId="149"/>
    <cellStyle name="Comma 2 21" xfId="150"/>
    <cellStyle name="Comma 2 22" xfId="151"/>
    <cellStyle name="Comma 2 23" xfId="152"/>
    <cellStyle name="Comma 2 24" xfId="153"/>
    <cellStyle name="Comma 2 25" xfId="154"/>
    <cellStyle name="Comma 2 26" xfId="155"/>
    <cellStyle name="Comma 2 27" xfId="156"/>
    <cellStyle name="Comma 2 28" xfId="157"/>
    <cellStyle name="Comma 2 29" xfId="158"/>
    <cellStyle name="Comma 2 3" xfId="159"/>
    <cellStyle name="Comma 2 30" xfId="160"/>
    <cellStyle name="Comma 2 31" xfId="161"/>
    <cellStyle name="Comma 2 32" xfId="162"/>
    <cellStyle name="Comma 2 33" xfId="163"/>
    <cellStyle name="Comma 2 34" xfId="164"/>
    <cellStyle name="Comma 2 35" xfId="165"/>
    <cellStyle name="Comma 2 36" xfId="166"/>
    <cellStyle name="Comma 2 37" xfId="167"/>
    <cellStyle name="Comma 2 38" xfId="168"/>
    <cellStyle name="Comma 2 39" xfId="169"/>
    <cellStyle name="Comma 2 4" xfId="170"/>
    <cellStyle name="Comma 2 40" xfId="171"/>
    <cellStyle name="Comma 2 41" xfId="172"/>
    <cellStyle name="Comma 2 42" xfId="173"/>
    <cellStyle name="Comma 2 43" xfId="174"/>
    <cellStyle name="Comma 2 44" xfId="175"/>
    <cellStyle name="Comma 2 45" xfId="176"/>
    <cellStyle name="Comma 2 46" xfId="177"/>
    <cellStyle name="Comma 2 47" xfId="178"/>
    <cellStyle name="Comma 2 48" xfId="179"/>
    <cellStyle name="Comma 2 49" xfId="180"/>
    <cellStyle name="Comma 2 5" xfId="181"/>
    <cellStyle name="Comma 2 50" xfId="182"/>
    <cellStyle name="Comma 2 51" xfId="183"/>
    <cellStyle name="Comma 2 52" xfId="184"/>
    <cellStyle name="Comma 2 53" xfId="185"/>
    <cellStyle name="Comma 2 54" xfId="186"/>
    <cellStyle name="Comma 2 55" xfId="187"/>
    <cellStyle name="Comma 2 56" xfId="188"/>
    <cellStyle name="Comma 2 57" xfId="189"/>
    <cellStyle name="Comma 2 6" xfId="190"/>
    <cellStyle name="Comma 2 7" xfId="191"/>
    <cellStyle name="Comma 2 8" xfId="192"/>
    <cellStyle name="Comma 2 9" xfId="193"/>
    <cellStyle name="Comma 2_format situation crédits" xfId="194"/>
    <cellStyle name="Comma 20" xfId="195"/>
    <cellStyle name="Comma 20 2" xfId="196"/>
    <cellStyle name="Comma 21" xfId="197"/>
    <cellStyle name="Comma 22" xfId="198"/>
    <cellStyle name="Comma 23" xfId="199"/>
    <cellStyle name="Comma 23 2" xfId="200"/>
    <cellStyle name="Comma 24" xfId="201"/>
    <cellStyle name="Comma 24 2" xfId="202"/>
    <cellStyle name="Comma 25" xfId="203"/>
    <cellStyle name="Comma 26" xfId="204"/>
    <cellStyle name="Comma 27" xfId="205"/>
    <cellStyle name="Comma 28" xfId="206"/>
    <cellStyle name="Comma 29" xfId="207"/>
    <cellStyle name="Comma 3" xfId="208"/>
    <cellStyle name="Comma 3 10" xfId="209"/>
    <cellStyle name="Comma 3 11" xfId="210"/>
    <cellStyle name="Comma 3 12" xfId="211"/>
    <cellStyle name="Comma 3 13" xfId="212"/>
    <cellStyle name="Comma 3 14" xfId="213"/>
    <cellStyle name="Comma 3 15" xfId="214"/>
    <cellStyle name="Comma 3 16" xfId="215"/>
    <cellStyle name="Comma 3 17" xfId="216"/>
    <cellStyle name="Comma 3 18" xfId="217"/>
    <cellStyle name="Comma 3 19" xfId="218"/>
    <cellStyle name="Comma 3 2" xfId="219"/>
    <cellStyle name="Comma 3 20" xfId="220"/>
    <cellStyle name="Comma 3 21" xfId="221"/>
    <cellStyle name="Comma 3 22" xfId="222"/>
    <cellStyle name="Comma 3 23" xfId="223"/>
    <cellStyle name="Comma 3 24" xfId="224"/>
    <cellStyle name="Comma 3 25" xfId="225"/>
    <cellStyle name="Comma 3 26" xfId="226"/>
    <cellStyle name="Comma 3 27" xfId="227"/>
    <cellStyle name="Comma 3 28" xfId="228"/>
    <cellStyle name="Comma 3 29" xfId="229"/>
    <cellStyle name="Comma 3 3" xfId="230"/>
    <cellStyle name="Comma 3 30" xfId="231"/>
    <cellStyle name="Comma 3 31" xfId="232"/>
    <cellStyle name="Comma 3 32" xfId="233"/>
    <cellStyle name="Comma 3 33" xfId="234"/>
    <cellStyle name="Comma 3 34" xfId="235"/>
    <cellStyle name="Comma 3 35" xfId="236"/>
    <cellStyle name="Comma 3 36" xfId="237"/>
    <cellStyle name="Comma 3 37" xfId="238"/>
    <cellStyle name="Comma 3 4" xfId="239"/>
    <cellStyle name="Comma 3 5" xfId="240"/>
    <cellStyle name="Comma 3 6" xfId="241"/>
    <cellStyle name="Comma 3 7" xfId="242"/>
    <cellStyle name="Comma 3 8" xfId="243"/>
    <cellStyle name="Comma 3 9" xfId="244"/>
    <cellStyle name="Comma 3_M.I.CLPd" xfId="245"/>
    <cellStyle name="Comma 30" xfId="246"/>
    <cellStyle name="Comma 31" xfId="247"/>
    <cellStyle name="Comma 32" xfId="248"/>
    <cellStyle name="Comma 33" xfId="249"/>
    <cellStyle name="Comma 34" xfId="250"/>
    <cellStyle name="Comma 4" xfId="251"/>
    <cellStyle name="Comma 4 2" xfId="252"/>
    <cellStyle name="Comma 4 2 2" xfId="253"/>
    <cellStyle name="Comma 5" xfId="254"/>
    <cellStyle name="Comma 5 2" xfId="255"/>
    <cellStyle name="Comma 6" xfId="256"/>
    <cellStyle name="Comma 6 2" xfId="257"/>
    <cellStyle name="Comma 7" xfId="258"/>
    <cellStyle name="Comma 8" xfId="259"/>
    <cellStyle name="Comma 8 2" xfId="260"/>
    <cellStyle name="Comma 9" xfId="261"/>
    <cellStyle name="Currency" xfId="262"/>
    <cellStyle name="Currency [0]" xfId="263"/>
    <cellStyle name="Currency 2" xfId="264"/>
    <cellStyle name="Currency 3" xfId="265"/>
    <cellStyle name="Explanatory Text" xfId="266"/>
    <cellStyle name="Followed Hyperlink" xfId="267"/>
    <cellStyle name="FormBorder" xfId="268"/>
    <cellStyle name="FormLower" xfId="269"/>
    <cellStyle name="Formula Ratio" xfId="270"/>
    <cellStyle name="FormulaP1" xfId="271"/>
    <cellStyle name="FormulaP2" xfId="272"/>
    <cellStyle name="FormUpper" xfId="273"/>
    <cellStyle name="Good" xfId="274"/>
    <cellStyle name="Heading 1" xfId="275"/>
    <cellStyle name="Heading 2" xfId="276"/>
    <cellStyle name="Heading 3" xfId="277"/>
    <cellStyle name="Heading 4" xfId="278"/>
    <cellStyle name="Hyperlink" xfId="279"/>
    <cellStyle name="Input" xfId="280"/>
    <cellStyle name="Input 2" xfId="281"/>
    <cellStyle name="Level1 Adj" xfId="282"/>
    <cellStyle name="Level1 AdjHyper" xfId="283"/>
    <cellStyle name="Level2" xfId="284"/>
    <cellStyle name="Level2Adj" xfId="285"/>
    <cellStyle name="Level2Def" xfId="286"/>
    <cellStyle name="Level2DefAdj" xfId="287"/>
    <cellStyle name="Level2Mnth" xfId="288"/>
    <cellStyle name="Level2MnthAdj" xfId="289"/>
    <cellStyle name="Level2Ref" xfId="290"/>
    <cellStyle name="Level3" xfId="291"/>
    <cellStyle name="Level3Adj" xfId="292"/>
    <cellStyle name="Level3Adj Def" xfId="293"/>
    <cellStyle name="Level3Adj_format situation crédits" xfId="294"/>
    <cellStyle name="Level3Ref" xfId="295"/>
    <cellStyle name="Level3Tit" xfId="296"/>
    <cellStyle name="Level3TitAdj" xfId="297"/>
    <cellStyle name="Linked Cell" xfId="298"/>
    <cellStyle name="Margin" xfId="299"/>
    <cellStyle name="MarginRef" xfId="300"/>
    <cellStyle name="Milliers 2" xfId="301"/>
    <cellStyle name="Milliers_Feuil5" xfId="302"/>
    <cellStyle name="Neutral" xfId="303"/>
    <cellStyle name="Normal 10" xfId="304"/>
    <cellStyle name="Normal 10 10" xfId="305"/>
    <cellStyle name="Normal 11" xfId="306"/>
    <cellStyle name="Normal 12" xfId="307"/>
    <cellStyle name="Normal 13" xfId="308"/>
    <cellStyle name="Normal 15" xfId="309"/>
    <cellStyle name="Normal 16" xfId="310"/>
    <cellStyle name="Normal 17" xfId="311"/>
    <cellStyle name="Normal 19" xfId="312"/>
    <cellStyle name="Normal 2" xfId="313"/>
    <cellStyle name="Normal 2 135" xfId="314"/>
    <cellStyle name="Normal 2 137" xfId="315"/>
    <cellStyle name="Normal 2 2" xfId="316"/>
    <cellStyle name="Normal 2 2 2" xfId="317"/>
    <cellStyle name="Normal 2 22 2" xfId="318"/>
    <cellStyle name="Normal 2 27 2" xfId="319"/>
    <cellStyle name="Normal 2 3" xfId="320"/>
    <cellStyle name="Normal 2 4" xfId="321"/>
    <cellStyle name="Normal 2 5" xfId="322"/>
    <cellStyle name="Normal 2 5 2" xfId="323"/>
    <cellStyle name="Normal 2 50" xfId="324"/>
    <cellStyle name="Normal 2_format situation crédits" xfId="325"/>
    <cellStyle name="Normal 21 2" xfId="326"/>
    <cellStyle name="Normal 24" xfId="327"/>
    <cellStyle name="Normal 25" xfId="328"/>
    <cellStyle name="Normal 26 2" xfId="329"/>
    <cellStyle name="Normal 28 2" xfId="330"/>
    <cellStyle name="Normal 29 2" xfId="331"/>
    <cellStyle name="Normal 3" xfId="332"/>
    <cellStyle name="Normal 3 10" xfId="333"/>
    <cellStyle name="Normal 3 11" xfId="334"/>
    <cellStyle name="Normal 3 12" xfId="335"/>
    <cellStyle name="Normal 3 13" xfId="336"/>
    <cellStyle name="Normal 3 14" xfId="337"/>
    <cellStyle name="Normal 3 15" xfId="338"/>
    <cellStyle name="Normal 3 16" xfId="339"/>
    <cellStyle name="Normal 3 17" xfId="340"/>
    <cellStyle name="Normal 3 18" xfId="341"/>
    <cellStyle name="Normal 3 19" xfId="342"/>
    <cellStyle name="Normal 3 2" xfId="343"/>
    <cellStyle name="Normal 3 20" xfId="344"/>
    <cellStyle name="Normal 3 21" xfId="345"/>
    <cellStyle name="Normal 3 22" xfId="346"/>
    <cellStyle name="Normal 3 23" xfId="347"/>
    <cellStyle name="Normal 3 24" xfId="348"/>
    <cellStyle name="Normal 3 25" xfId="349"/>
    <cellStyle name="Normal 3 26" xfId="350"/>
    <cellStyle name="Normal 3 27" xfId="351"/>
    <cellStyle name="Normal 3 28" xfId="352"/>
    <cellStyle name="Normal 3 29" xfId="353"/>
    <cellStyle name="Normal 3 3" xfId="354"/>
    <cellStyle name="Normal 3 30" xfId="355"/>
    <cellStyle name="Normal 3 31" xfId="356"/>
    <cellStyle name="Normal 3 32" xfId="357"/>
    <cellStyle name="Normal 3 33" xfId="358"/>
    <cellStyle name="Normal 3 34" xfId="359"/>
    <cellStyle name="Normal 3 35" xfId="360"/>
    <cellStyle name="Normal 3 36" xfId="361"/>
    <cellStyle name="Normal 3 4" xfId="362"/>
    <cellStyle name="Normal 3 5" xfId="363"/>
    <cellStyle name="Normal 3 6" xfId="364"/>
    <cellStyle name="Normal 3 7" xfId="365"/>
    <cellStyle name="Normal 3 8" xfId="366"/>
    <cellStyle name="Normal 3 9" xfId="367"/>
    <cellStyle name="Normal 31 2" xfId="368"/>
    <cellStyle name="Normal 32 2" xfId="369"/>
    <cellStyle name="Normal 34 2" xfId="370"/>
    <cellStyle name="Normal 35 2" xfId="371"/>
    <cellStyle name="Normal 37 2" xfId="372"/>
    <cellStyle name="Normal 38 2" xfId="373"/>
    <cellStyle name="Normal 4" xfId="374"/>
    <cellStyle name="Normal 4 21" xfId="375"/>
    <cellStyle name="Normal 5" xfId="376"/>
    <cellStyle name="Normal 5 2" xfId="377"/>
    <cellStyle name="Normal 51 2" xfId="378"/>
    <cellStyle name="Normal 54 2" xfId="379"/>
    <cellStyle name="Normal 55 2" xfId="380"/>
    <cellStyle name="Normal 57 2" xfId="381"/>
    <cellStyle name="Normal 6" xfId="382"/>
    <cellStyle name="Normal 7" xfId="383"/>
    <cellStyle name="Normal 8" xfId="384"/>
    <cellStyle name="Normal 9" xfId="385"/>
    <cellStyle name="Note" xfId="386"/>
    <cellStyle name="Output" xfId="387"/>
    <cellStyle name="Percent" xfId="388"/>
    <cellStyle name="Percent 2" xfId="389"/>
    <cellStyle name="Percent 2 10" xfId="390"/>
    <cellStyle name="Percent 2 11" xfId="391"/>
    <cellStyle name="Percent 2 12" xfId="392"/>
    <cellStyle name="Percent 2 13" xfId="393"/>
    <cellStyle name="Percent 2 14" xfId="394"/>
    <cellStyle name="Percent 2 15" xfId="395"/>
    <cellStyle name="Percent 2 16" xfId="396"/>
    <cellStyle name="Percent 2 17" xfId="397"/>
    <cellStyle name="Percent 2 18" xfId="398"/>
    <cellStyle name="Percent 2 19" xfId="399"/>
    <cellStyle name="Percent 2 2" xfId="400"/>
    <cellStyle name="Percent 2 20" xfId="401"/>
    <cellStyle name="Percent 2 21" xfId="402"/>
    <cellStyle name="Percent 2 22" xfId="403"/>
    <cellStyle name="Percent 2 23" xfId="404"/>
    <cellStyle name="Percent 2 24" xfId="405"/>
    <cellStyle name="Percent 2 25" xfId="406"/>
    <cellStyle name="Percent 2 26" xfId="407"/>
    <cellStyle name="Percent 2 27" xfId="408"/>
    <cellStyle name="Percent 2 28" xfId="409"/>
    <cellStyle name="Percent 2 29" xfId="410"/>
    <cellStyle name="Percent 2 3" xfId="411"/>
    <cellStyle name="Percent 2 30" xfId="412"/>
    <cellStyle name="Percent 2 31" xfId="413"/>
    <cellStyle name="Percent 2 32" xfId="414"/>
    <cellStyle name="Percent 2 33" xfId="415"/>
    <cellStyle name="Percent 2 34" xfId="416"/>
    <cellStyle name="Percent 2 35" xfId="417"/>
    <cellStyle name="Percent 2 36" xfId="418"/>
    <cellStyle name="Percent 2 4" xfId="419"/>
    <cellStyle name="Percent 2 5" xfId="420"/>
    <cellStyle name="Percent 2 6" xfId="421"/>
    <cellStyle name="Percent 2 7" xfId="422"/>
    <cellStyle name="Percent 2 8" xfId="423"/>
    <cellStyle name="Percent 2 9" xfId="424"/>
    <cellStyle name="Percent 3" xfId="425"/>
    <cellStyle name="Percent 4" xfId="426"/>
    <cellStyle name="Percent 5" xfId="427"/>
    <cellStyle name="SubAcct" xfId="428"/>
    <cellStyle name="Title" xfId="429"/>
    <cellStyle name="Total" xfId="430"/>
    <cellStyle name="Warning Text" xfId="4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971550</xdr:colOff>
      <xdr:row>7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61925"/>
          <a:ext cx="9715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nr-file-01\userprofiledata$\Users\emukiza\AppData\Local\Microsoft\Windows\Temporary%20Internet%20Files\Content.Outlook\XJ5W337A\2015%2009%20CONSOLIDATED%20REPORT%20of%20all%20MFIs+SACCOs%20(Published%20data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ed IS (in Million)"/>
      <sheetName val="Consolidated BS (in Million)"/>
      <sheetName val="Consolidated BS (Absolute data)"/>
      <sheetName val="Outreach Data (number)"/>
      <sheetName val="Loans per Economic Sector"/>
      <sheetName val="Loans per Gender"/>
      <sheetName val="Nr of accounts&amp;loans(in Thous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1">
      <selection activeCell="L13" sqref="L13"/>
    </sheetView>
  </sheetViews>
  <sheetFormatPr defaultColWidth="9.33203125" defaultRowHeight="12.75"/>
  <cols>
    <col min="1" max="1" width="4.33203125" style="1" customWidth="1"/>
    <col min="2" max="2" width="27.83203125" style="1" customWidth="1"/>
    <col min="3" max="3" width="9.33203125" style="1" customWidth="1"/>
    <col min="4" max="4" width="10.83203125" style="1" customWidth="1"/>
    <col min="5" max="5" width="10.5" style="1" customWidth="1"/>
    <col min="6" max="6" width="10.33203125" style="1" customWidth="1"/>
    <col min="7" max="7" width="10.83203125" style="1" customWidth="1"/>
    <col min="8" max="8" width="10.66015625" style="1" customWidth="1"/>
    <col min="9" max="10" width="9.33203125" style="1" customWidth="1"/>
    <col min="11" max="11" width="11.5" style="1" bestFit="1" customWidth="1"/>
    <col min="12" max="12" width="13.33203125" style="1" bestFit="1" customWidth="1"/>
    <col min="13" max="16384" width="9.33203125" style="1" customWidth="1"/>
  </cols>
  <sheetData>
    <row r="1" ht="17.25">
      <c r="A1" s="5" t="s">
        <v>23</v>
      </c>
    </row>
    <row r="2" ht="12.75">
      <c r="B2" s="2" t="s">
        <v>30</v>
      </c>
    </row>
    <row r="3" spans="2:8" ht="12.75">
      <c r="B3" s="6"/>
      <c r="C3" s="7">
        <v>2010</v>
      </c>
      <c r="D3" s="7">
        <v>2011</v>
      </c>
      <c r="E3" s="7">
        <v>2012</v>
      </c>
      <c r="F3" s="7">
        <v>2013</v>
      </c>
      <c r="G3" s="7">
        <v>2014</v>
      </c>
      <c r="H3" s="7">
        <v>2015</v>
      </c>
    </row>
    <row r="4" spans="2:8" ht="12.75">
      <c r="B4" s="6" t="s">
        <v>14</v>
      </c>
      <c r="C4" s="8">
        <v>524</v>
      </c>
      <c r="D4" s="8">
        <v>490</v>
      </c>
      <c r="E4" s="8">
        <v>490</v>
      </c>
      <c r="F4" s="8">
        <v>490</v>
      </c>
      <c r="G4" s="8">
        <v>490</v>
      </c>
      <c r="H4" s="8">
        <v>493</v>
      </c>
    </row>
    <row r="5" spans="2:8" ht="12.75">
      <c r="B5" s="13" t="s">
        <v>28</v>
      </c>
      <c r="C5" s="14">
        <v>45.28</v>
      </c>
      <c r="D5" s="14">
        <v>77.42</v>
      </c>
      <c r="E5" s="14">
        <v>101.02</v>
      </c>
      <c r="F5" s="14">
        <v>128.75</v>
      </c>
      <c r="G5" s="14">
        <v>159.33</v>
      </c>
      <c r="H5" s="14">
        <v>208.95</v>
      </c>
    </row>
    <row r="6" spans="2:8" ht="12.75">
      <c r="B6" s="15" t="s">
        <v>29</v>
      </c>
      <c r="C6" s="16"/>
      <c r="D6" s="17">
        <f>(D5-C5)/C5</f>
        <v>0.7098056537102474</v>
      </c>
      <c r="E6" s="17">
        <f>(E5-D5)/D5</f>
        <v>0.3048307930767243</v>
      </c>
      <c r="F6" s="17">
        <f>(F5-E5)/E5</f>
        <v>0.274500098990299</v>
      </c>
      <c r="G6" s="17">
        <f>(G5-F5)/F5</f>
        <v>0.23751456310679622</v>
      </c>
      <c r="H6" s="18">
        <f>(H5-G5)/G5</f>
        <v>0.3114291093955939</v>
      </c>
    </row>
    <row r="8" ht="12.75">
      <c r="B8" s="2" t="s">
        <v>31</v>
      </c>
    </row>
    <row r="9" spans="2:8" ht="12.75">
      <c r="B9" s="7" t="s">
        <v>15</v>
      </c>
      <c r="C9" s="7">
        <v>2010</v>
      </c>
      <c r="D9" s="7">
        <v>2011</v>
      </c>
      <c r="E9" s="7">
        <v>2012</v>
      </c>
      <c r="F9" s="7">
        <v>2013</v>
      </c>
      <c r="G9" s="7">
        <v>2014</v>
      </c>
      <c r="H9" s="7">
        <v>2015</v>
      </c>
    </row>
    <row r="10" spans="2:8" ht="12.75">
      <c r="B10" s="9" t="s">
        <v>16</v>
      </c>
      <c r="C10" s="10"/>
      <c r="D10" s="10">
        <v>46914</v>
      </c>
      <c r="E10" s="10">
        <v>76136</v>
      </c>
      <c r="F10" s="10">
        <v>97482</v>
      </c>
      <c r="G10" s="10">
        <v>116272</v>
      </c>
      <c r="H10" s="10">
        <v>135824</v>
      </c>
    </row>
    <row r="11" spans="2:8" ht="12.75">
      <c r="B11" s="9" t="s">
        <v>19</v>
      </c>
      <c r="C11" s="10"/>
      <c r="D11" s="10">
        <v>212431</v>
      </c>
      <c r="E11" s="10">
        <v>309846</v>
      </c>
      <c r="F11" s="10">
        <v>416712</v>
      </c>
      <c r="G11" s="10">
        <v>470502</v>
      </c>
      <c r="H11" s="10">
        <v>494706</v>
      </c>
    </row>
    <row r="12" spans="2:8" ht="12.75">
      <c r="B12" s="9" t="s">
        <v>18</v>
      </c>
      <c r="C12" s="10"/>
      <c r="D12" s="10">
        <v>275845</v>
      </c>
      <c r="E12" s="10">
        <v>402353</v>
      </c>
      <c r="F12" s="10">
        <v>488212</v>
      </c>
      <c r="G12" s="10">
        <v>571496</v>
      </c>
      <c r="H12" s="10">
        <v>628021</v>
      </c>
    </row>
    <row r="13" spans="2:8" ht="12.75">
      <c r="B13" s="9" t="s">
        <v>17</v>
      </c>
      <c r="C13" s="10"/>
      <c r="D13" s="10">
        <v>171408</v>
      </c>
      <c r="E13" s="10">
        <v>225900</v>
      </c>
      <c r="F13" s="10">
        <v>272562</v>
      </c>
      <c r="G13" s="10">
        <v>325954</v>
      </c>
      <c r="H13" s="10">
        <v>359011</v>
      </c>
    </row>
    <row r="14" spans="2:8" ht="12.75">
      <c r="B14" s="9" t="s">
        <v>20</v>
      </c>
      <c r="C14" s="10"/>
      <c r="D14" s="10">
        <v>248467</v>
      </c>
      <c r="E14" s="10">
        <v>339942</v>
      </c>
      <c r="F14" s="10">
        <v>386105</v>
      </c>
      <c r="G14" s="10">
        <v>456215</v>
      </c>
      <c r="H14" s="10">
        <v>500221</v>
      </c>
    </row>
    <row r="15" spans="2:8" ht="12.75">
      <c r="B15" s="19" t="s">
        <v>8</v>
      </c>
      <c r="C15" s="20">
        <v>454049</v>
      </c>
      <c r="D15" s="20">
        <f>SUM(D10:D14)</f>
        <v>955065</v>
      </c>
      <c r="E15" s="20">
        <f>SUM(E10:E14)</f>
        <v>1354177</v>
      </c>
      <c r="F15" s="20">
        <f>SUM(F10:F14)</f>
        <v>1661073</v>
      </c>
      <c r="G15" s="20">
        <f>SUM(G10:G14)</f>
        <v>1940439</v>
      </c>
      <c r="H15" s="20">
        <f>SUM(H10:H14)</f>
        <v>2117783</v>
      </c>
    </row>
    <row r="16" spans="2:8" ht="12.75">
      <c r="B16" s="15" t="s">
        <v>27</v>
      </c>
      <c r="C16" s="16"/>
      <c r="D16" s="17">
        <f>(D15-C15)/C15</f>
        <v>1.1034403775803934</v>
      </c>
      <c r="E16" s="17">
        <f>(E15-D15)/D15</f>
        <v>0.417889881840503</v>
      </c>
      <c r="F16" s="17">
        <f>(F15-E15)/E15</f>
        <v>0.22662916295284885</v>
      </c>
      <c r="G16" s="17">
        <f>(G15-F15)/F15</f>
        <v>0.16818405933995675</v>
      </c>
      <c r="H16" s="18">
        <f>(H15-G15)/G15</f>
        <v>0.09139375162012307</v>
      </c>
    </row>
    <row r="17" spans="4:8" ht="12.75">
      <c r="D17" s="3"/>
      <c r="E17" s="4"/>
      <c r="F17" s="4"/>
      <c r="G17" s="4"/>
      <c r="H17" s="4"/>
    </row>
    <row r="18" ht="12.75">
      <c r="B18" s="2" t="s">
        <v>32</v>
      </c>
    </row>
    <row r="19" spans="2:8" ht="12.75">
      <c r="B19" s="6"/>
      <c r="C19" s="7">
        <v>2010</v>
      </c>
      <c r="D19" s="7">
        <v>2011</v>
      </c>
      <c r="E19" s="7">
        <v>2012</v>
      </c>
      <c r="F19" s="7">
        <v>2013</v>
      </c>
      <c r="G19" s="7">
        <v>2014</v>
      </c>
      <c r="H19" s="7">
        <v>2015</v>
      </c>
    </row>
    <row r="20" spans="2:8" ht="12.75">
      <c r="B20" s="13" t="s">
        <v>7</v>
      </c>
      <c r="C20" s="21">
        <v>699.587</v>
      </c>
      <c r="D20" s="21">
        <v>1517.941</v>
      </c>
      <c r="E20" s="21">
        <v>1988.693</v>
      </c>
      <c r="F20" s="21">
        <v>2361.4</v>
      </c>
      <c r="G20" s="21">
        <v>2571</v>
      </c>
      <c r="H20" s="21">
        <v>2793.9</v>
      </c>
    </row>
    <row r="21" spans="2:8" ht="12.75">
      <c r="B21" s="15" t="s">
        <v>27</v>
      </c>
      <c r="C21" s="16"/>
      <c r="D21" s="17">
        <f>(D20-C20)/C20</f>
        <v>1.1697673055674278</v>
      </c>
      <c r="E21" s="17">
        <f>(E20-D20)/D20</f>
        <v>0.31012536060360707</v>
      </c>
      <c r="F21" s="17">
        <f>(F20-E20)/E20</f>
        <v>0.18741303961948882</v>
      </c>
      <c r="G21" s="17">
        <f>(G20-F20)/F20</f>
        <v>0.08876090454814936</v>
      </c>
      <c r="H21" s="18">
        <f>(H20-G20)/G20</f>
        <v>0.08669778296382734</v>
      </c>
    </row>
    <row r="22" spans="3:7" ht="12.75">
      <c r="C22" s="4"/>
      <c r="D22" s="4"/>
      <c r="E22" s="4"/>
      <c r="F22" s="4"/>
      <c r="G22" s="4"/>
    </row>
    <row r="23" ht="12.75">
      <c r="B23" s="2" t="s">
        <v>33</v>
      </c>
    </row>
    <row r="24" spans="2:8" ht="12.75">
      <c r="B24" s="9"/>
      <c r="C24" s="7">
        <v>2010</v>
      </c>
      <c r="D24" s="7">
        <v>2011</v>
      </c>
      <c r="E24" s="7">
        <v>2012</v>
      </c>
      <c r="F24" s="7">
        <v>2013</v>
      </c>
      <c r="G24" s="7">
        <v>2014</v>
      </c>
      <c r="H24" s="7">
        <v>2015</v>
      </c>
    </row>
    <row r="25" spans="2:8" ht="12.75">
      <c r="B25" s="6" t="s">
        <v>21</v>
      </c>
      <c r="C25" s="8">
        <v>33.6</v>
      </c>
      <c r="D25" s="8">
        <v>40.7</v>
      </c>
      <c r="E25" s="8">
        <v>59.2</v>
      </c>
      <c r="F25" s="8">
        <v>73.5</v>
      </c>
      <c r="G25" s="8">
        <v>89.9</v>
      </c>
      <c r="H25" s="8">
        <v>116.5</v>
      </c>
    </row>
    <row r="26" spans="2:8" ht="12.75">
      <c r="B26" s="12" t="s">
        <v>22</v>
      </c>
      <c r="C26" s="8">
        <v>3.8</v>
      </c>
      <c r="D26" s="8">
        <v>4.9</v>
      </c>
      <c r="E26" s="8">
        <v>5.1</v>
      </c>
      <c r="F26" s="8">
        <v>4.9</v>
      </c>
      <c r="G26" s="8">
        <v>6.3</v>
      </c>
      <c r="H26" s="8">
        <v>9.2</v>
      </c>
    </row>
    <row r="28" spans="2:8" ht="12.75">
      <c r="B28" s="6" t="s">
        <v>24</v>
      </c>
      <c r="C28" s="11">
        <v>0.113</v>
      </c>
      <c r="D28" s="11">
        <v>0.12</v>
      </c>
      <c r="E28" s="11">
        <v>0.085</v>
      </c>
      <c r="F28" s="11">
        <v>0.068</v>
      </c>
      <c r="G28" s="11">
        <v>0.07</v>
      </c>
      <c r="H28" s="11">
        <v>0.079</v>
      </c>
    </row>
    <row r="30" spans="2:8" ht="12.75">
      <c r="B30" s="22" t="s">
        <v>25</v>
      </c>
      <c r="C30" s="23"/>
      <c r="D30" s="24">
        <f aca="true" t="shared" si="0" ref="D30:H31">(D25-C25)/C25</f>
        <v>0.21130952380952384</v>
      </c>
      <c r="E30" s="24">
        <f t="shared" si="0"/>
        <v>0.45454545454545453</v>
      </c>
      <c r="F30" s="24">
        <f t="shared" si="0"/>
        <v>0.241554054054054</v>
      </c>
      <c r="G30" s="24">
        <f t="shared" si="0"/>
        <v>0.22312925170068035</v>
      </c>
      <c r="H30" s="25">
        <f t="shared" si="0"/>
        <v>0.2958843159065628</v>
      </c>
    </row>
    <row r="31" spans="2:8" ht="12.75">
      <c r="B31" s="26" t="s">
        <v>26</v>
      </c>
      <c r="C31" s="27"/>
      <c r="D31" s="28">
        <f t="shared" si="0"/>
        <v>0.2894736842105265</v>
      </c>
      <c r="E31" s="28">
        <f t="shared" si="0"/>
        <v>0.040816326530612096</v>
      </c>
      <c r="F31" s="28">
        <f t="shared" si="0"/>
        <v>-0.039215686274509665</v>
      </c>
      <c r="G31" s="28">
        <f t="shared" si="0"/>
        <v>0.2857142857142856</v>
      </c>
      <c r="H31" s="29">
        <f t="shared" si="0"/>
        <v>0.46031746031746024</v>
      </c>
    </row>
    <row r="34" spans="1:12" ht="13.5" thickBot="1">
      <c r="A34"/>
      <c r="B34" t="s">
        <v>36</v>
      </c>
      <c r="C34"/>
      <c r="D34"/>
      <c r="E34"/>
      <c r="F34"/>
      <c r="G34"/>
      <c r="H34"/>
      <c r="I34"/>
      <c r="J34"/>
      <c r="K34"/>
      <c r="L34"/>
    </row>
    <row r="35" spans="1:12" ht="21" thickBot="1">
      <c r="A35" s="30"/>
      <c r="B35" s="31"/>
      <c r="C35" s="31">
        <v>2006</v>
      </c>
      <c r="D35" s="31">
        <v>2007</v>
      </c>
      <c r="E35" s="31">
        <v>2008</v>
      </c>
      <c r="F35" s="31">
        <v>2009</v>
      </c>
      <c r="G35" s="31">
        <v>2010</v>
      </c>
      <c r="H35" s="31">
        <v>2011</v>
      </c>
      <c r="I35" s="31">
        <v>2012</v>
      </c>
      <c r="J35" s="31">
        <v>2013</v>
      </c>
      <c r="K35" s="31">
        <v>2014</v>
      </c>
      <c r="L35" s="31">
        <v>2015</v>
      </c>
    </row>
    <row r="36" spans="1:12" ht="21" thickBot="1">
      <c r="A36" s="32">
        <v>1</v>
      </c>
      <c r="B36" s="33" t="s">
        <v>0</v>
      </c>
      <c r="C36" s="34"/>
      <c r="D36" s="34"/>
      <c r="E36" s="34">
        <v>60.13</v>
      </c>
      <c r="F36" s="34">
        <v>36.06</v>
      </c>
      <c r="G36" s="34">
        <v>45.28</v>
      </c>
      <c r="H36" s="34">
        <v>77.42</v>
      </c>
      <c r="I36" s="34">
        <v>101.02</v>
      </c>
      <c r="J36" s="34">
        <v>128.75</v>
      </c>
      <c r="K36" s="37">
        <v>159.33</v>
      </c>
      <c r="L36" s="34">
        <v>208.95</v>
      </c>
    </row>
    <row r="37" spans="1:12" ht="21" thickBot="1">
      <c r="A37" s="32">
        <v>2</v>
      </c>
      <c r="B37" s="33" t="s">
        <v>34</v>
      </c>
      <c r="C37" s="35"/>
      <c r="D37" s="35"/>
      <c r="E37" s="35">
        <v>42.32</v>
      </c>
      <c r="F37" s="35">
        <v>24.72</v>
      </c>
      <c r="G37" s="35">
        <v>33.61</v>
      </c>
      <c r="H37" s="35">
        <v>40.72</v>
      </c>
      <c r="I37" s="35">
        <v>59.19</v>
      </c>
      <c r="J37" s="35">
        <v>73.54</v>
      </c>
      <c r="K37" s="36">
        <v>89.96</v>
      </c>
      <c r="L37" s="36">
        <v>116.58</v>
      </c>
    </row>
    <row r="38" spans="1:12" ht="21" thickBot="1">
      <c r="A38" s="32">
        <v>3</v>
      </c>
      <c r="B38" s="33" t="s">
        <v>1</v>
      </c>
      <c r="C38" s="35"/>
      <c r="D38" s="35"/>
      <c r="E38" s="35">
        <v>38.32</v>
      </c>
      <c r="F38" s="35">
        <v>19.1</v>
      </c>
      <c r="G38" s="35">
        <v>23.9</v>
      </c>
      <c r="H38" s="35">
        <v>45.87</v>
      </c>
      <c r="I38" s="35">
        <v>54.47</v>
      </c>
      <c r="J38" s="35">
        <v>69.49</v>
      </c>
      <c r="K38" s="36">
        <v>86.13</v>
      </c>
      <c r="L38" s="36">
        <v>117.29</v>
      </c>
    </row>
    <row r="39" spans="1:12" ht="21" thickBot="1">
      <c r="A39" s="32">
        <v>4</v>
      </c>
      <c r="B39" s="33" t="s">
        <v>35</v>
      </c>
      <c r="C39" s="35"/>
      <c r="D39" s="35"/>
      <c r="E39" s="35">
        <v>16.23</v>
      </c>
      <c r="F39" s="35">
        <v>11.96</v>
      </c>
      <c r="G39" s="35">
        <v>15.67</v>
      </c>
      <c r="H39" s="35">
        <v>20.19</v>
      </c>
      <c r="I39" s="35">
        <v>30.11</v>
      </c>
      <c r="J39" s="35">
        <v>42.98</v>
      </c>
      <c r="K39" s="36">
        <v>52.82</v>
      </c>
      <c r="L39" s="36">
        <v>64.98</v>
      </c>
    </row>
    <row r="43" ht="12.75">
      <c r="B43" s="2" t="s">
        <v>37</v>
      </c>
    </row>
    <row r="44" spans="2:12" ht="12.75">
      <c r="B44" s="7" t="s">
        <v>38</v>
      </c>
      <c r="C44" s="7">
        <v>2006</v>
      </c>
      <c r="D44" s="7">
        <v>2007</v>
      </c>
      <c r="E44" s="7">
        <v>2008</v>
      </c>
      <c r="F44" s="7">
        <v>2009</v>
      </c>
      <c r="G44" s="7">
        <v>2010</v>
      </c>
      <c r="H44" s="7">
        <v>2011</v>
      </c>
      <c r="I44" s="7">
        <v>2012</v>
      </c>
      <c r="J44" s="7">
        <v>2013</v>
      </c>
      <c r="K44" s="7">
        <v>2014</v>
      </c>
      <c r="L44" s="7">
        <v>2015</v>
      </c>
    </row>
    <row r="45" spans="2:12" ht="12.75">
      <c r="B45" s="9" t="s">
        <v>3</v>
      </c>
      <c r="C45" s="10"/>
      <c r="D45" s="10"/>
      <c r="E45" s="10">
        <v>588</v>
      </c>
      <c r="F45" s="10">
        <v>601</v>
      </c>
      <c r="G45" s="10">
        <v>633</v>
      </c>
      <c r="H45" s="10">
        <v>1378</v>
      </c>
      <c r="I45" s="10">
        <v>1642</v>
      </c>
      <c r="J45" s="10">
        <v>1869</v>
      </c>
      <c r="K45" s="10"/>
      <c r="L45" s="10">
        <v>2198</v>
      </c>
    </row>
    <row r="46" spans="2:12" ht="12.75">
      <c r="B46" s="9" t="s">
        <v>4</v>
      </c>
      <c r="C46" s="10"/>
      <c r="D46" s="10"/>
      <c r="E46" s="10">
        <v>685</v>
      </c>
      <c r="F46" s="10">
        <v>782</v>
      </c>
      <c r="G46" s="10">
        <v>710</v>
      </c>
      <c r="H46" s="10">
        <v>1706</v>
      </c>
      <c r="I46" s="10">
        <v>1960</v>
      </c>
      <c r="J46" s="10">
        <v>2194</v>
      </c>
      <c r="K46" s="10"/>
      <c r="L46" s="10">
        <v>2452</v>
      </c>
    </row>
    <row r="47" spans="2:12" ht="12.75">
      <c r="B47" s="19" t="s">
        <v>8</v>
      </c>
      <c r="C47" s="38">
        <f>SUM(C45:C46)</f>
        <v>0</v>
      </c>
      <c r="D47" s="38">
        <f>SUM(D45:D46)</f>
        <v>0</v>
      </c>
      <c r="E47" s="38">
        <v>1273</v>
      </c>
      <c r="F47" s="38">
        <v>1383</v>
      </c>
      <c r="G47" s="20">
        <v>1343</v>
      </c>
      <c r="H47" s="20">
        <v>3084</v>
      </c>
      <c r="I47" s="20">
        <v>3602</v>
      </c>
      <c r="J47" s="20">
        <v>4063</v>
      </c>
      <c r="K47" s="20">
        <f>SUM(K45:K46)</f>
        <v>0</v>
      </c>
      <c r="L47" s="20">
        <f>SUM(L45:L46)</f>
        <v>4650</v>
      </c>
    </row>
  </sheetData>
  <sheetProtection/>
  <printOptions/>
  <pageMargins left="0.7" right="0.7" top="0.75" bottom="0.75" header="0.3" footer="0.3"/>
  <pageSetup horizontalDpi="600" verticalDpi="600" orientation="portrait" r:id="rId1"/>
  <headerFooter>
    <oddHeader>&amp;C 
</oddHeader>
    <oddFooter>&amp;C 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AU78"/>
  <sheetViews>
    <sheetView showGridLines="0" zoomScale="87" zoomScaleNormal="87" zoomScalePageLayoutView="0" workbookViewId="0" topLeftCell="AJ37">
      <selection activeCell="AL57" sqref="AL57"/>
    </sheetView>
  </sheetViews>
  <sheetFormatPr defaultColWidth="9.33203125" defaultRowHeight="12.75"/>
  <cols>
    <col min="1" max="1" width="7.66015625" style="133" customWidth="1"/>
    <col min="2" max="2" width="68.16015625" style="133" customWidth="1"/>
    <col min="3" max="3" width="14" style="133" customWidth="1"/>
    <col min="4" max="4" width="13.83203125" style="133" customWidth="1"/>
    <col min="5" max="5" width="14" style="133" customWidth="1"/>
    <col min="6" max="6" width="14.16015625" style="133" customWidth="1"/>
    <col min="7" max="7" width="15.83203125" style="133" customWidth="1"/>
    <col min="8" max="8" width="15.66015625" style="133" customWidth="1"/>
    <col min="9" max="9" width="13.66015625" style="133" customWidth="1"/>
    <col min="10" max="10" width="13.83203125" style="133" customWidth="1"/>
    <col min="11" max="11" width="13.66015625" style="133" customWidth="1"/>
    <col min="12" max="12" width="15" style="133" customWidth="1"/>
    <col min="13" max="14" width="14" style="133" customWidth="1"/>
    <col min="15" max="15" width="14.16015625" style="133" customWidth="1"/>
    <col min="16" max="16" width="13.83203125" style="133" customWidth="1"/>
    <col min="17" max="17" width="14.83203125" style="133" customWidth="1"/>
    <col min="18" max="19" width="14.16015625" style="133" customWidth="1"/>
    <col min="20" max="20" width="14.66015625" style="133" customWidth="1"/>
    <col min="21" max="21" width="14.5" style="133" customWidth="1"/>
    <col min="22" max="22" width="15.5" style="133" customWidth="1"/>
    <col min="23" max="23" width="15.16015625" style="133" customWidth="1"/>
    <col min="24" max="24" width="19" style="133" customWidth="1"/>
    <col min="25" max="25" width="18.66015625" style="133" customWidth="1"/>
    <col min="26" max="26" width="19.16015625" style="133" customWidth="1"/>
    <col min="27" max="27" width="15.33203125" style="133" customWidth="1"/>
    <col min="28" max="28" width="19" style="133" customWidth="1"/>
    <col min="29" max="29" width="17.16015625" style="133" customWidth="1"/>
    <col min="30" max="30" width="20.5" style="133" customWidth="1"/>
    <col min="31" max="31" width="18.83203125" style="133" customWidth="1"/>
    <col min="32" max="32" width="18.16015625" style="133" customWidth="1"/>
    <col min="33" max="33" width="18.66015625" style="133" customWidth="1"/>
    <col min="34" max="35" width="18.16015625" style="133" customWidth="1"/>
    <col min="36" max="36" width="17.16015625" style="133" customWidth="1"/>
    <col min="37" max="37" width="20.5" style="133" customWidth="1"/>
    <col min="38" max="38" width="18.33203125" style="133" customWidth="1"/>
    <col min="39" max="40" width="16.83203125" style="133" customWidth="1"/>
    <col min="41" max="41" width="21.83203125" style="133" customWidth="1"/>
    <col min="42" max="42" width="16" style="133" customWidth="1"/>
    <col min="43" max="43" width="32.83203125" style="133" customWidth="1"/>
    <col min="44" max="46" width="9.33203125" style="133" customWidth="1"/>
    <col min="47" max="47" width="13.66015625" style="133" bestFit="1" customWidth="1"/>
    <col min="48" max="16384" width="9.33203125" style="133" customWidth="1"/>
  </cols>
  <sheetData>
    <row r="2" spans="2:9" ht="13.5">
      <c r="B2" s="132"/>
      <c r="C2" s="132"/>
      <c r="D2" s="132"/>
      <c r="E2" s="132"/>
      <c r="F2" s="132"/>
      <c r="G2" s="132"/>
      <c r="H2" s="132"/>
      <c r="I2" s="132"/>
    </row>
    <row r="3" spans="2:12" ht="13.5">
      <c r="B3" s="132" t="s">
        <v>75</v>
      </c>
      <c r="C3" s="132"/>
      <c r="D3" s="132"/>
      <c r="I3" s="132"/>
      <c r="J3" s="132"/>
      <c r="K3" s="132"/>
      <c r="L3" s="132"/>
    </row>
    <row r="4" spans="2:9" ht="13.5">
      <c r="B4" s="132" t="s">
        <v>91</v>
      </c>
      <c r="C4" s="132"/>
      <c r="D4" s="132"/>
      <c r="E4" s="132"/>
      <c r="F4" s="132"/>
      <c r="G4" s="132"/>
      <c r="H4" s="132"/>
      <c r="I4" s="132"/>
    </row>
    <row r="5" ht="13.5">
      <c r="B5" s="132" t="s">
        <v>77</v>
      </c>
    </row>
    <row r="6" spans="2:31" ht="13.5">
      <c r="B6" s="134"/>
      <c r="AE6" s="231"/>
    </row>
    <row r="7" ht="13.5">
      <c r="B7" s="134" t="s">
        <v>82</v>
      </c>
    </row>
    <row r="8" ht="14.25" thickBot="1">
      <c r="B8" s="134"/>
    </row>
    <row r="9" spans="2:42" ht="22.5" customHeight="1">
      <c r="B9" s="178" t="s">
        <v>2</v>
      </c>
      <c r="C9" s="177">
        <v>41274</v>
      </c>
      <c r="D9" s="177">
        <v>41639</v>
      </c>
      <c r="E9" s="177">
        <v>41820</v>
      </c>
      <c r="F9" s="177">
        <v>41912</v>
      </c>
      <c r="G9" s="177">
        <v>42004</v>
      </c>
      <c r="H9" s="177">
        <v>42094</v>
      </c>
      <c r="I9" s="177">
        <v>42185</v>
      </c>
      <c r="J9" s="177">
        <v>42277</v>
      </c>
      <c r="K9" s="177">
        <v>42369</v>
      </c>
      <c r="L9" s="177">
        <v>42460</v>
      </c>
      <c r="M9" s="177">
        <v>42551</v>
      </c>
      <c r="N9" s="177">
        <v>42643</v>
      </c>
      <c r="O9" s="177">
        <v>42735</v>
      </c>
      <c r="P9" s="177">
        <v>42825</v>
      </c>
      <c r="Q9" s="177">
        <v>42916</v>
      </c>
      <c r="R9" s="177">
        <v>43008</v>
      </c>
      <c r="S9" s="177">
        <v>43100</v>
      </c>
      <c r="T9" s="177">
        <v>43190</v>
      </c>
      <c r="U9" s="177">
        <v>43281</v>
      </c>
      <c r="V9" s="177">
        <v>43373</v>
      </c>
      <c r="W9" s="177">
        <v>43465</v>
      </c>
      <c r="X9" s="177">
        <v>43555</v>
      </c>
      <c r="Y9" s="177">
        <v>43646</v>
      </c>
      <c r="Z9" s="177">
        <v>43709</v>
      </c>
      <c r="AA9" s="177">
        <v>43818</v>
      </c>
      <c r="AB9" s="177">
        <v>43909</v>
      </c>
      <c r="AC9" s="177">
        <v>44001</v>
      </c>
      <c r="AD9" s="177">
        <v>44093</v>
      </c>
      <c r="AE9" s="177">
        <v>44184</v>
      </c>
      <c r="AF9" s="177">
        <v>44274</v>
      </c>
      <c r="AG9" s="177">
        <v>44377</v>
      </c>
      <c r="AH9" s="234">
        <v>44469</v>
      </c>
      <c r="AI9" s="250">
        <v>44561</v>
      </c>
      <c r="AJ9" s="250">
        <v>44651</v>
      </c>
      <c r="AK9" s="250">
        <v>44742</v>
      </c>
      <c r="AL9" s="250">
        <v>44834</v>
      </c>
      <c r="AM9" s="250">
        <v>44926</v>
      </c>
      <c r="AN9" s="250">
        <v>45016</v>
      </c>
      <c r="AO9" s="250">
        <v>45107</v>
      </c>
      <c r="AP9" s="170"/>
    </row>
    <row r="10" spans="2:43" s="225" customFormat="1" ht="34.5" customHeight="1">
      <c r="B10" s="221" t="s">
        <v>72</v>
      </c>
      <c r="C10" s="222">
        <v>1988.7</v>
      </c>
      <c r="D10" s="222">
        <v>2361.4</v>
      </c>
      <c r="E10" s="222">
        <v>2397</v>
      </c>
      <c r="F10" s="222">
        <v>2471.096</v>
      </c>
      <c r="G10" s="222">
        <v>2571</v>
      </c>
      <c r="H10" s="222">
        <v>2627.887</v>
      </c>
      <c r="I10" s="223">
        <v>2718.892</v>
      </c>
      <c r="J10" s="223">
        <v>2745.281</v>
      </c>
      <c r="K10" s="223">
        <v>2793.9</v>
      </c>
      <c r="L10" s="224">
        <v>2919.832</v>
      </c>
      <c r="M10" s="224">
        <v>3008.3</v>
      </c>
      <c r="N10" s="224">
        <v>3061.746</v>
      </c>
      <c r="O10" s="224">
        <v>3180.277</v>
      </c>
      <c r="P10" s="224">
        <v>3288.205</v>
      </c>
      <c r="Q10" s="224">
        <v>3356.523</v>
      </c>
      <c r="R10" s="224">
        <v>3414.81</v>
      </c>
      <c r="S10" s="224">
        <v>3458.31</v>
      </c>
      <c r="T10" s="224">
        <v>3579.267</v>
      </c>
      <c r="U10" s="224">
        <v>3687.851</v>
      </c>
      <c r="V10" s="224">
        <v>3656.82925423729</v>
      </c>
      <c r="W10" s="224">
        <v>3681.313</v>
      </c>
      <c r="X10" s="224">
        <v>3729.683</v>
      </c>
      <c r="Y10" s="224">
        <v>3772.503</v>
      </c>
      <c r="Z10" s="224">
        <v>3824</v>
      </c>
      <c r="AA10" s="224">
        <v>3907.4</v>
      </c>
      <c r="AB10" s="224">
        <f>AB11+AB12+AB13</f>
        <v>3954</v>
      </c>
      <c r="AC10" s="224">
        <v>4108.1</v>
      </c>
      <c r="AD10" s="224">
        <v>4269.361</v>
      </c>
      <c r="AE10" s="224">
        <v>4368.606</v>
      </c>
      <c r="AF10" s="224">
        <v>4458.705</v>
      </c>
      <c r="AG10" s="224">
        <f>4597116/1000</f>
        <v>4597.116</v>
      </c>
      <c r="AH10" s="238">
        <v>4751.5</v>
      </c>
      <c r="AI10" s="258">
        <v>4860.105</v>
      </c>
      <c r="AJ10" s="258">
        <v>4952.183</v>
      </c>
      <c r="AK10" s="258">
        <v>4978.448</v>
      </c>
      <c r="AL10" s="283">
        <v>5044.766</v>
      </c>
      <c r="AM10" s="283">
        <v>5204.981</v>
      </c>
      <c r="AN10" s="283">
        <v>5538.395</v>
      </c>
      <c r="AO10" s="307">
        <v>5716.029</v>
      </c>
      <c r="AP10" s="321"/>
      <c r="AQ10" s="285"/>
    </row>
    <row r="11" spans="2:42" ht="28.5" customHeight="1">
      <c r="B11" s="140" t="s">
        <v>3</v>
      </c>
      <c r="C11" s="141">
        <v>784.8</v>
      </c>
      <c r="D11" s="141">
        <v>918.3</v>
      </c>
      <c r="E11" s="141">
        <v>919.4</v>
      </c>
      <c r="F11" s="141">
        <v>948.203</v>
      </c>
      <c r="G11" s="141">
        <v>987</v>
      </c>
      <c r="H11" s="141">
        <v>1010.56</v>
      </c>
      <c r="I11" s="142">
        <v>1045.993</v>
      </c>
      <c r="J11" s="142">
        <v>1057.384</v>
      </c>
      <c r="K11" s="142">
        <v>1081.8</v>
      </c>
      <c r="L11" s="143">
        <v>1129.808</v>
      </c>
      <c r="M11" s="143">
        <v>1153.225</v>
      </c>
      <c r="N11" s="143">
        <v>1188.313</v>
      </c>
      <c r="O11" s="143">
        <v>1249.42001</v>
      </c>
      <c r="P11" s="143">
        <v>1298.88601</v>
      </c>
      <c r="Q11" s="143">
        <v>1333.039</v>
      </c>
      <c r="R11" s="143">
        <v>1351.4758</v>
      </c>
      <c r="S11" s="143">
        <v>1373.159</v>
      </c>
      <c r="T11" s="143">
        <v>1431.895</v>
      </c>
      <c r="U11" s="143">
        <v>1464.436</v>
      </c>
      <c r="V11" s="143">
        <v>1461.843</v>
      </c>
      <c r="W11" s="144">
        <v>1469.2930000000001</v>
      </c>
      <c r="X11" s="144">
        <v>1532.022</v>
      </c>
      <c r="Y11" s="144">
        <v>1516.152</v>
      </c>
      <c r="Z11" s="205">
        <v>1538</v>
      </c>
      <c r="AA11" s="205">
        <v>1598.1</v>
      </c>
      <c r="AB11" s="205">
        <v>1600.8</v>
      </c>
      <c r="AC11" s="205">
        <v>1671.4</v>
      </c>
      <c r="AD11" s="205">
        <v>1742.6</v>
      </c>
      <c r="AE11" s="205">
        <v>1793.193</v>
      </c>
      <c r="AF11" s="205">
        <v>1861.496</v>
      </c>
      <c r="AG11" s="205">
        <f>1939103/1000</f>
        <v>1939.103</v>
      </c>
      <c r="AH11" s="237">
        <v>1998</v>
      </c>
      <c r="AI11" s="259">
        <v>2061.663</v>
      </c>
      <c r="AJ11" s="259">
        <v>2091.76</v>
      </c>
      <c r="AK11" s="259">
        <v>2105.289</v>
      </c>
      <c r="AL11" s="288">
        <v>2152.142</v>
      </c>
      <c r="AM11" s="288">
        <v>2251.565</v>
      </c>
      <c r="AN11" s="288">
        <v>2338.145</v>
      </c>
      <c r="AO11" s="305">
        <v>2437.66</v>
      </c>
      <c r="AP11" s="322"/>
    </row>
    <row r="12" spans="2:42" ht="31.5" customHeight="1">
      <c r="B12" s="145" t="s">
        <v>4</v>
      </c>
      <c r="C12" s="146">
        <v>1079.2</v>
      </c>
      <c r="D12" s="146">
        <v>1261</v>
      </c>
      <c r="E12" s="146">
        <v>1286</v>
      </c>
      <c r="F12" s="146">
        <v>1331.656</v>
      </c>
      <c r="G12" s="146">
        <v>1369</v>
      </c>
      <c r="H12" s="146">
        <v>1395.65</v>
      </c>
      <c r="I12" s="147">
        <v>1440.791</v>
      </c>
      <c r="J12" s="147">
        <v>1447.246</v>
      </c>
      <c r="K12" s="147">
        <v>1463.3</v>
      </c>
      <c r="L12" s="148">
        <v>1531.37</v>
      </c>
      <c r="M12" s="148">
        <v>1580.112</v>
      </c>
      <c r="N12" s="148">
        <v>1598.216</v>
      </c>
      <c r="O12" s="148">
        <v>1663.11799</v>
      </c>
      <c r="P12" s="148">
        <v>1710.64099</v>
      </c>
      <c r="Q12" s="148">
        <v>1739.531</v>
      </c>
      <c r="R12" s="148">
        <v>1771.8132</v>
      </c>
      <c r="S12" s="148">
        <v>1797.8</v>
      </c>
      <c r="T12" s="148">
        <v>1851.547</v>
      </c>
      <c r="U12" s="148">
        <v>1906.595</v>
      </c>
      <c r="V12" s="148">
        <v>1889.942</v>
      </c>
      <c r="W12" s="149">
        <v>1896.3560000000002</v>
      </c>
      <c r="X12" s="149">
        <v>1860.532</v>
      </c>
      <c r="Y12" s="149">
        <v>1920.8139999999999</v>
      </c>
      <c r="Z12" s="149">
        <v>1949</v>
      </c>
      <c r="AA12" s="149">
        <v>1963.2</v>
      </c>
      <c r="AB12" s="149">
        <v>2005.8</v>
      </c>
      <c r="AC12" s="149">
        <v>2078.8</v>
      </c>
      <c r="AD12" s="149">
        <v>2154.261</v>
      </c>
      <c r="AE12" s="149">
        <v>2196.989</v>
      </c>
      <c r="AF12" s="149">
        <v>2216.551</v>
      </c>
      <c r="AG12" s="149">
        <f>2260254/1000</f>
        <v>2260.254</v>
      </c>
      <c r="AH12" s="235">
        <v>2356</v>
      </c>
      <c r="AI12" s="260">
        <v>2378.506</v>
      </c>
      <c r="AJ12" s="260">
        <v>2449.669</v>
      </c>
      <c r="AK12" s="260">
        <v>2464.41</v>
      </c>
      <c r="AL12" s="281">
        <v>2466.811</v>
      </c>
      <c r="AM12" s="281">
        <v>2528.428</v>
      </c>
      <c r="AN12" s="281">
        <v>2743.677</v>
      </c>
      <c r="AO12" s="306">
        <v>2796.428</v>
      </c>
      <c r="AP12" s="170"/>
    </row>
    <row r="13" spans="2:42" ht="28.5" customHeight="1">
      <c r="B13" s="140" t="s">
        <v>5</v>
      </c>
      <c r="C13" s="141">
        <v>124.8</v>
      </c>
      <c r="D13" s="141">
        <v>182.1</v>
      </c>
      <c r="E13" s="141">
        <v>191.6</v>
      </c>
      <c r="F13" s="141">
        <v>191.237</v>
      </c>
      <c r="G13" s="141">
        <v>215</v>
      </c>
      <c r="H13" s="141">
        <v>221.677</v>
      </c>
      <c r="I13" s="142">
        <v>232.108</v>
      </c>
      <c r="J13" s="142">
        <v>240.651</v>
      </c>
      <c r="K13" s="142">
        <v>248.8</v>
      </c>
      <c r="L13" s="143">
        <v>258.6</v>
      </c>
      <c r="M13" s="143">
        <v>275.037</v>
      </c>
      <c r="N13" s="143">
        <v>275.217</v>
      </c>
      <c r="O13" s="143">
        <v>267.739</v>
      </c>
      <c r="P13" s="143">
        <v>278.678</v>
      </c>
      <c r="Q13" s="143">
        <v>283.953</v>
      </c>
      <c r="R13" s="143">
        <v>291.521</v>
      </c>
      <c r="S13" s="143">
        <v>287.283</v>
      </c>
      <c r="T13" s="143">
        <v>295.825</v>
      </c>
      <c r="U13" s="143">
        <v>316.82</v>
      </c>
      <c r="V13" s="143">
        <v>313.081</v>
      </c>
      <c r="W13" s="144">
        <v>315.664</v>
      </c>
      <c r="X13" s="144">
        <v>337.129</v>
      </c>
      <c r="Y13" s="144">
        <v>335.53700000000003</v>
      </c>
      <c r="Z13" s="144">
        <v>336</v>
      </c>
      <c r="AA13" s="144">
        <v>346.1</v>
      </c>
      <c r="AB13" s="144">
        <v>347.4</v>
      </c>
      <c r="AC13" s="144">
        <v>357.9</v>
      </c>
      <c r="AD13" s="144">
        <v>372.5</v>
      </c>
      <c r="AE13" s="144">
        <v>378.424</v>
      </c>
      <c r="AF13" s="144">
        <v>381</v>
      </c>
      <c r="AG13" s="144">
        <f>397759/1000</f>
        <v>397.759</v>
      </c>
      <c r="AH13" s="144">
        <v>397.5</v>
      </c>
      <c r="AI13" s="261">
        <v>419.936</v>
      </c>
      <c r="AJ13" s="261">
        <v>410.754</v>
      </c>
      <c r="AK13" s="261">
        <v>408.846</v>
      </c>
      <c r="AL13" s="282">
        <v>452.813</v>
      </c>
      <c r="AM13" s="282">
        <v>420.629</v>
      </c>
      <c r="AN13" s="282">
        <v>456.573</v>
      </c>
      <c r="AO13" s="309">
        <v>481.941</v>
      </c>
      <c r="AP13" s="170"/>
    </row>
    <row r="14" spans="2:42" ht="33" customHeight="1">
      <c r="B14" s="150" t="s">
        <v>80</v>
      </c>
      <c r="C14" s="151">
        <v>137.2</v>
      </c>
      <c r="D14" s="151">
        <v>147.5</v>
      </c>
      <c r="E14" s="151">
        <v>169.8</v>
      </c>
      <c r="F14" s="151">
        <v>165.169</v>
      </c>
      <c r="G14" s="151">
        <v>162</v>
      </c>
      <c r="H14" s="151">
        <v>170.688</v>
      </c>
      <c r="I14" s="152">
        <v>167.089</v>
      </c>
      <c r="J14" s="152">
        <v>167.791</v>
      </c>
      <c r="K14" s="152">
        <v>171.4</v>
      </c>
      <c r="L14" s="153">
        <v>175.4</v>
      </c>
      <c r="M14" s="153">
        <v>189.749</v>
      </c>
      <c r="N14" s="153">
        <v>194.321</v>
      </c>
      <c r="O14" s="153">
        <v>190.80200000000002</v>
      </c>
      <c r="P14" s="153">
        <v>216.406</v>
      </c>
      <c r="Q14" s="153">
        <v>222.871</v>
      </c>
      <c r="R14" s="153">
        <v>232.63</v>
      </c>
      <c r="S14" s="153">
        <v>241.764</v>
      </c>
      <c r="T14" s="153">
        <v>246.728</v>
      </c>
      <c r="U14" s="153">
        <v>253.936</v>
      </c>
      <c r="V14" s="153">
        <v>272.01300000000003</v>
      </c>
      <c r="W14" s="139">
        <v>281.083</v>
      </c>
      <c r="X14" s="139">
        <v>294.254</v>
      </c>
      <c r="Y14" s="139">
        <v>310.66700000000003</v>
      </c>
      <c r="Z14" s="139">
        <v>466.3</v>
      </c>
      <c r="AA14" s="139">
        <f>AA15+AA16+AA17</f>
        <v>509.59999999999997</v>
      </c>
      <c r="AB14" s="139">
        <v>521.7</v>
      </c>
      <c r="AC14" s="139">
        <v>526.3</v>
      </c>
      <c r="AD14" s="139">
        <v>599.276</v>
      </c>
      <c r="AE14" s="139">
        <v>675.486</v>
      </c>
      <c r="AF14" s="139">
        <v>335.741</v>
      </c>
      <c r="AG14" s="139">
        <f>333144/1000</f>
        <v>333.144</v>
      </c>
      <c r="AH14" s="139">
        <v>311.201</v>
      </c>
      <c r="AI14" s="262">
        <v>399.592</v>
      </c>
      <c r="AJ14" s="262">
        <v>440.8</v>
      </c>
      <c r="AK14" s="262">
        <v>359.8</v>
      </c>
      <c r="AL14" s="286">
        <v>358.742</v>
      </c>
      <c r="AM14" s="286">
        <v>373.759</v>
      </c>
      <c r="AN14" s="286">
        <v>406.471</v>
      </c>
      <c r="AO14" s="310">
        <v>432</v>
      </c>
      <c r="AP14" s="170"/>
    </row>
    <row r="15" spans="2:42" ht="19.5" customHeight="1">
      <c r="B15" s="140" t="s">
        <v>3</v>
      </c>
      <c r="C15" s="141">
        <v>41</v>
      </c>
      <c r="D15" s="141">
        <v>43.8</v>
      </c>
      <c r="E15" s="141">
        <v>52.5</v>
      </c>
      <c r="F15" s="141">
        <v>49.318</v>
      </c>
      <c r="G15" s="141">
        <v>48</v>
      </c>
      <c r="H15" s="141">
        <v>51.948</v>
      </c>
      <c r="I15" s="142">
        <v>49.256</v>
      </c>
      <c r="J15" s="142">
        <v>51.259</v>
      </c>
      <c r="K15" s="142">
        <v>63.1</v>
      </c>
      <c r="L15" s="143">
        <v>53.528</v>
      </c>
      <c r="M15" s="143">
        <v>59.802</v>
      </c>
      <c r="N15" s="143">
        <v>60.844</v>
      </c>
      <c r="O15" s="143">
        <v>62.166</v>
      </c>
      <c r="P15" s="143">
        <v>73.54</v>
      </c>
      <c r="Q15" s="143">
        <v>77.53</v>
      </c>
      <c r="R15" s="143">
        <v>82.875</v>
      </c>
      <c r="S15" s="143">
        <v>87.157</v>
      </c>
      <c r="T15" s="143">
        <v>89.966</v>
      </c>
      <c r="U15" s="143">
        <v>92.84</v>
      </c>
      <c r="V15" s="143">
        <v>98.568</v>
      </c>
      <c r="W15" s="144">
        <v>105.565</v>
      </c>
      <c r="X15" s="144">
        <v>113.842</v>
      </c>
      <c r="Y15" s="144">
        <v>120.572</v>
      </c>
      <c r="Z15" s="144">
        <v>175.1</v>
      </c>
      <c r="AA15" s="144">
        <v>205.3</v>
      </c>
      <c r="AB15" s="144">
        <v>207</v>
      </c>
      <c r="AC15" s="144">
        <v>208.4</v>
      </c>
      <c r="AD15" s="144">
        <v>230.112</v>
      </c>
      <c r="AE15" s="144">
        <v>260.321</v>
      </c>
      <c r="AF15" s="144">
        <v>141.956</v>
      </c>
      <c r="AG15" s="144">
        <f>147974/1000</f>
        <v>147.974</v>
      </c>
      <c r="AH15" s="239">
        <v>133.433</v>
      </c>
      <c r="AI15" s="261">
        <v>170.174</v>
      </c>
      <c r="AJ15" s="261">
        <v>186.627</v>
      </c>
      <c r="AK15" s="261">
        <v>167.043</v>
      </c>
      <c r="AL15" s="282">
        <v>160.577</v>
      </c>
      <c r="AM15" s="282">
        <v>167.316</v>
      </c>
      <c r="AN15" s="282">
        <v>177.687</v>
      </c>
      <c r="AO15" s="309">
        <v>190.153</v>
      </c>
      <c r="AP15" s="170"/>
    </row>
    <row r="16" spans="2:42" ht="25.5" customHeight="1">
      <c r="B16" s="145" t="s">
        <v>4</v>
      </c>
      <c r="C16" s="146">
        <v>90.9</v>
      </c>
      <c r="D16" s="146" t="s">
        <v>92</v>
      </c>
      <c r="E16" s="146">
        <v>110.8</v>
      </c>
      <c r="F16" s="146">
        <v>108.402</v>
      </c>
      <c r="G16" s="146">
        <v>107</v>
      </c>
      <c r="H16" s="146">
        <v>112.517</v>
      </c>
      <c r="I16" s="147">
        <v>111.539</v>
      </c>
      <c r="J16" s="147">
        <v>109.831</v>
      </c>
      <c r="K16" s="147">
        <v>102.2</v>
      </c>
      <c r="L16" s="148">
        <v>115.915</v>
      </c>
      <c r="M16" s="148">
        <v>123.739</v>
      </c>
      <c r="N16" s="148">
        <v>126.052</v>
      </c>
      <c r="O16" s="148">
        <v>121.349</v>
      </c>
      <c r="P16" s="148">
        <v>135.162</v>
      </c>
      <c r="Q16" s="148">
        <v>137.484</v>
      </c>
      <c r="R16" s="148">
        <v>142.704</v>
      </c>
      <c r="S16" s="148">
        <v>147.2</v>
      </c>
      <c r="T16" s="148">
        <v>148.621</v>
      </c>
      <c r="U16" s="148">
        <v>153.047</v>
      </c>
      <c r="V16" s="148">
        <v>159.41</v>
      </c>
      <c r="W16" s="149">
        <v>166.902</v>
      </c>
      <c r="X16" s="149">
        <v>170.88</v>
      </c>
      <c r="Y16" s="149">
        <v>172.869</v>
      </c>
      <c r="Z16" s="149">
        <v>269.9</v>
      </c>
      <c r="AA16" s="149">
        <v>293.4</v>
      </c>
      <c r="AB16" s="149">
        <v>306.9</v>
      </c>
      <c r="AC16" s="149">
        <v>311.1</v>
      </c>
      <c r="AD16" s="149">
        <v>359.08</v>
      </c>
      <c r="AE16" s="149">
        <v>403.271</v>
      </c>
      <c r="AF16" s="149">
        <v>186.634</v>
      </c>
      <c r="AG16" s="149">
        <f>175731/1000</f>
        <v>175.731</v>
      </c>
      <c r="AH16" s="240">
        <v>171.832</v>
      </c>
      <c r="AI16" s="260">
        <v>222.3</v>
      </c>
      <c r="AJ16" s="260">
        <v>246.911</v>
      </c>
      <c r="AK16" s="260">
        <v>187.236</v>
      </c>
      <c r="AL16" s="281">
        <v>191.624</v>
      </c>
      <c r="AM16" s="281">
        <v>200.012</v>
      </c>
      <c r="AN16" s="281">
        <v>220.94</v>
      </c>
      <c r="AO16" s="306">
        <v>235.368</v>
      </c>
      <c r="AP16" s="170"/>
    </row>
    <row r="17" spans="2:42" ht="28.5" customHeight="1" thickBot="1">
      <c r="B17" s="154" t="s">
        <v>5</v>
      </c>
      <c r="C17" s="155">
        <v>5.3</v>
      </c>
      <c r="D17" s="155">
        <v>6</v>
      </c>
      <c r="E17" s="155">
        <v>6.3</v>
      </c>
      <c r="F17" s="155">
        <v>7.449</v>
      </c>
      <c r="G17" s="155">
        <v>7</v>
      </c>
      <c r="H17" s="155">
        <v>6.223</v>
      </c>
      <c r="I17" s="156">
        <v>6.294</v>
      </c>
      <c r="J17" s="156">
        <v>6.701</v>
      </c>
      <c r="K17" s="156">
        <v>6.1</v>
      </c>
      <c r="L17" s="157">
        <v>6.037</v>
      </c>
      <c r="M17" s="157">
        <v>6.208</v>
      </c>
      <c r="N17" s="157">
        <v>7.425</v>
      </c>
      <c r="O17" s="157">
        <v>7.287</v>
      </c>
      <c r="P17" s="157">
        <v>7.704</v>
      </c>
      <c r="Q17" s="157">
        <v>7.857</v>
      </c>
      <c r="R17" s="157">
        <v>7.051</v>
      </c>
      <c r="S17" s="157">
        <v>7.355</v>
      </c>
      <c r="T17" s="157">
        <v>8.141</v>
      </c>
      <c r="U17" s="157">
        <v>8.049</v>
      </c>
      <c r="V17" s="157">
        <v>14.035</v>
      </c>
      <c r="W17" s="157">
        <v>8.616</v>
      </c>
      <c r="X17" s="157">
        <v>9.532</v>
      </c>
      <c r="Y17" s="157">
        <v>17.226</v>
      </c>
      <c r="Z17" s="157">
        <v>21.3</v>
      </c>
      <c r="AA17" s="157">
        <v>10.9</v>
      </c>
      <c r="AB17" s="157">
        <v>7.8</v>
      </c>
      <c r="AC17" s="157">
        <v>6.800000000000001</v>
      </c>
      <c r="AD17" s="157">
        <v>10.084</v>
      </c>
      <c r="AE17" s="157">
        <v>11.894</v>
      </c>
      <c r="AF17" s="157">
        <v>7.151</v>
      </c>
      <c r="AG17" s="157">
        <v>9.4</v>
      </c>
      <c r="AH17" s="241">
        <v>5.936</v>
      </c>
      <c r="AI17" s="263">
        <v>7.118</v>
      </c>
      <c r="AJ17" s="263">
        <v>7.262</v>
      </c>
      <c r="AK17" s="263">
        <v>5.462</v>
      </c>
      <c r="AL17" s="284">
        <v>6.541</v>
      </c>
      <c r="AM17" s="284">
        <v>6.431</v>
      </c>
      <c r="AN17" s="284">
        <v>7.844</v>
      </c>
      <c r="AO17" s="311">
        <v>6.479</v>
      </c>
      <c r="AP17" s="170"/>
    </row>
    <row r="18" ht="13.5">
      <c r="AP18" s="170"/>
    </row>
    <row r="19" ht="13.5">
      <c r="AP19" s="170"/>
    </row>
    <row r="20" spans="2:42" ht="13.5">
      <c r="B20" s="134" t="s">
        <v>71</v>
      </c>
      <c r="AP20" s="170"/>
    </row>
    <row r="21" spans="2:42" ht="14.25" thickBot="1">
      <c r="B21" s="134"/>
      <c r="AP21" s="170"/>
    </row>
    <row r="22" spans="2:42" ht="20.25" customHeight="1" thickBot="1">
      <c r="B22" s="158" t="s">
        <v>6</v>
      </c>
      <c r="C22" s="177">
        <v>41274</v>
      </c>
      <c r="D22" s="177">
        <v>41639</v>
      </c>
      <c r="E22" s="177">
        <v>41820</v>
      </c>
      <c r="F22" s="177">
        <v>41912</v>
      </c>
      <c r="G22" s="177">
        <v>42004</v>
      </c>
      <c r="H22" s="177">
        <v>42094</v>
      </c>
      <c r="I22" s="177">
        <v>42185</v>
      </c>
      <c r="J22" s="177">
        <v>42277</v>
      </c>
      <c r="K22" s="177">
        <v>42369</v>
      </c>
      <c r="L22" s="177">
        <v>42460</v>
      </c>
      <c r="M22" s="177">
        <v>42551</v>
      </c>
      <c r="N22" s="177">
        <v>42643</v>
      </c>
      <c r="O22" s="177">
        <v>42735</v>
      </c>
      <c r="P22" s="177">
        <v>42825</v>
      </c>
      <c r="Q22" s="177">
        <v>42916</v>
      </c>
      <c r="R22" s="177">
        <v>43008</v>
      </c>
      <c r="S22" s="177">
        <v>43100</v>
      </c>
      <c r="T22" s="177">
        <v>43190</v>
      </c>
      <c r="U22" s="177">
        <v>43281</v>
      </c>
      <c r="V22" s="177">
        <v>43373</v>
      </c>
      <c r="W22" s="177">
        <v>43465</v>
      </c>
      <c r="X22" s="177">
        <v>43555</v>
      </c>
      <c r="Y22" s="177">
        <v>43646</v>
      </c>
      <c r="Z22" s="177">
        <v>43727</v>
      </c>
      <c r="AA22" s="177" t="s">
        <v>79</v>
      </c>
      <c r="AB22" s="177">
        <v>43921</v>
      </c>
      <c r="AC22" s="177">
        <v>44012</v>
      </c>
      <c r="AD22" s="177">
        <v>44094</v>
      </c>
      <c r="AE22" s="177">
        <v>44196</v>
      </c>
      <c r="AF22" s="177">
        <v>44286</v>
      </c>
      <c r="AG22" s="177">
        <v>44377</v>
      </c>
      <c r="AH22" s="245">
        <v>44469</v>
      </c>
      <c r="AI22" s="245">
        <v>44561</v>
      </c>
      <c r="AJ22" s="250">
        <v>44651</v>
      </c>
      <c r="AK22" s="250">
        <v>44742</v>
      </c>
      <c r="AL22" s="250">
        <v>44834</v>
      </c>
      <c r="AM22" s="250">
        <v>44926</v>
      </c>
      <c r="AN22" s="250">
        <v>45016</v>
      </c>
      <c r="AO22" s="250">
        <v>45107</v>
      </c>
      <c r="AP22" s="170"/>
    </row>
    <row r="23" spans="2:42" s="227" customFormat="1" ht="24.75" customHeight="1">
      <c r="B23" s="226" t="s">
        <v>81</v>
      </c>
      <c r="C23" s="222">
        <v>55.545</v>
      </c>
      <c r="D23" s="222">
        <v>65.063</v>
      </c>
      <c r="E23" s="222">
        <v>66.794</v>
      </c>
      <c r="F23" s="222">
        <v>67.423</v>
      </c>
      <c r="G23" s="222">
        <v>70.202</v>
      </c>
      <c r="H23" s="222">
        <v>67.199</v>
      </c>
      <c r="I23" s="223">
        <v>68.406</v>
      </c>
      <c r="J23" s="223">
        <v>71.024</v>
      </c>
      <c r="K23" s="223">
        <v>75.7</v>
      </c>
      <c r="L23" s="224">
        <v>72.73</v>
      </c>
      <c r="M23" s="224">
        <v>79.241</v>
      </c>
      <c r="N23" s="224">
        <v>85.323</v>
      </c>
      <c r="O23" s="224">
        <v>91.876</v>
      </c>
      <c r="P23" s="224">
        <v>94.502</v>
      </c>
      <c r="Q23" s="224">
        <v>97.136</v>
      </c>
      <c r="R23" s="224">
        <v>98.871</v>
      </c>
      <c r="S23" s="224">
        <v>104.671</v>
      </c>
      <c r="T23" s="224">
        <v>106.36500000000001</v>
      </c>
      <c r="U23" s="224">
        <v>109.033</v>
      </c>
      <c r="V23" s="224">
        <v>111.761</v>
      </c>
      <c r="W23" s="220">
        <v>118.873</v>
      </c>
      <c r="X23" s="224">
        <v>121.275</v>
      </c>
      <c r="Y23" s="220">
        <v>122.555</v>
      </c>
      <c r="Z23" s="220">
        <v>115.89999999999999</v>
      </c>
      <c r="AA23" s="220">
        <f>AA24+AA25+AA26</f>
        <v>118.5</v>
      </c>
      <c r="AB23" s="220">
        <f>AB24+AB25+AB26</f>
        <v>108.1</v>
      </c>
      <c r="AC23" s="220">
        <v>100.8</v>
      </c>
      <c r="AD23" s="139">
        <v>103.24100000000001</v>
      </c>
      <c r="AE23" s="139">
        <v>110.78699999999999</v>
      </c>
      <c r="AF23" s="139">
        <v>101.557</v>
      </c>
      <c r="AG23" s="242">
        <f>106145/1000</f>
        <v>106.145</v>
      </c>
      <c r="AH23" s="267">
        <v>97</v>
      </c>
      <c r="AI23" s="262">
        <v>104.944</v>
      </c>
      <c r="AJ23" s="262">
        <v>111.057</v>
      </c>
      <c r="AK23" s="262">
        <v>104.297</v>
      </c>
      <c r="AL23" s="286">
        <v>107.489</v>
      </c>
      <c r="AM23" s="286">
        <v>113.173</v>
      </c>
      <c r="AN23" s="286">
        <v>111.315</v>
      </c>
      <c r="AO23" s="310">
        <v>113.369</v>
      </c>
      <c r="AP23" s="323"/>
    </row>
    <row r="24" spans="2:42" ht="24.75" customHeight="1">
      <c r="B24" s="140" t="s">
        <v>3</v>
      </c>
      <c r="C24" s="141">
        <v>14.204</v>
      </c>
      <c r="D24" s="141">
        <v>17.552</v>
      </c>
      <c r="E24" s="141">
        <v>17.979</v>
      </c>
      <c r="F24" s="141">
        <v>17.438</v>
      </c>
      <c r="G24" s="141">
        <v>18.568</v>
      </c>
      <c r="H24" s="141">
        <v>17.771</v>
      </c>
      <c r="I24" s="142">
        <v>18.188</v>
      </c>
      <c r="J24" s="142">
        <v>19.6</v>
      </c>
      <c r="K24" s="142">
        <v>21.1</v>
      </c>
      <c r="L24" s="143">
        <v>20.425</v>
      </c>
      <c r="M24" s="143">
        <v>22.788</v>
      </c>
      <c r="N24" s="143">
        <v>25.076</v>
      </c>
      <c r="O24" s="143">
        <v>27.63</v>
      </c>
      <c r="P24" s="143">
        <v>29.131</v>
      </c>
      <c r="Q24" s="143">
        <v>30.125</v>
      </c>
      <c r="R24" s="143">
        <v>30.72</v>
      </c>
      <c r="S24" s="143">
        <v>32.956</v>
      </c>
      <c r="T24" s="143">
        <v>33.434</v>
      </c>
      <c r="U24" s="143">
        <v>34.02</v>
      </c>
      <c r="V24" s="143">
        <v>34.925</v>
      </c>
      <c r="W24" s="159">
        <v>37.529</v>
      </c>
      <c r="X24" s="143">
        <v>41.161</v>
      </c>
      <c r="Y24" s="159">
        <v>44.487</v>
      </c>
      <c r="Z24" s="143">
        <v>34.8</v>
      </c>
      <c r="AA24" s="214">
        <v>44.6</v>
      </c>
      <c r="AB24" s="205">
        <v>36.6</v>
      </c>
      <c r="AC24" s="205">
        <v>34.2</v>
      </c>
      <c r="AD24" s="205">
        <v>34.307</v>
      </c>
      <c r="AE24" s="205">
        <v>37.35</v>
      </c>
      <c r="AF24" s="205">
        <v>36.744</v>
      </c>
      <c r="AG24" s="236">
        <f>39077/1000</f>
        <v>39.077</v>
      </c>
      <c r="AH24" s="265">
        <v>33.4</v>
      </c>
      <c r="AI24" s="259">
        <v>36.669</v>
      </c>
      <c r="AJ24" s="259">
        <v>39.891</v>
      </c>
      <c r="AK24" s="259">
        <v>37.916</v>
      </c>
      <c r="AL24" s="287">
        <v>38.793</v>
      </c>
      <c r="AM24" s="287">
        <v>40.397</v>
      </c>
      <c r="AN24" s="287">
        <v>38.345</v>
      </c>
      <c r="AO24" s="305">
        <v>39.712</v>
      </c>
      <c r="AP24" s="170"/>
    </row>
    <row r="25" spans="2:42" ht="24.75" customHeight="1">
      <c r="B25" s="145" t="s">
        <v>4</v>
      </c>
      <c r="C25" s="146">
        <v>39.2</v>
      </c>
      <c r="D25" s="146">
        <v>43.837</v>
      </c>
      <c r="E25" s="146">
        <v>45.646</v>
      </c>
      <c r="F25" s="146">
        <v>46.683</v>
      </c>
      <c r="G25" s="146">
        <v>47.948</v>
      </c>
      <c r="H25" s="146">
        <v>46.445</v>
      </c>
      <c r="I25" s="147">
        <v>47.51</v>
      </c>
      <c r="J25" s="147">
        <v>48.777</v>
      </c>
      <c r="K25" s="147">
        <v>51.8</v>
      </c>
      <c r="L25" s="148">
        <v>49.584</v>
      </c>
      <c r="M25" s="148">
        <v>53.539</v>
      </c>
      <c r="N25" s="148">
        <v>56.863</v>
      </c>
      <c r="O25" s="148">
        <v>60.508</v>
      </c>
      <c r="P25" s="148">
        <v>61.554</v>
      </c>
      <c r="Q25" s="148">
        <v>62.977</v>
      </c>
      <c r="R25" s="148">
        <v>64.258</v>
      </c>
      <c r="S25" s="148">
        <v>67.58</v>
      </c>
      <c r="T25" s="148">
        <v>68.498</v>
      </c>
      <c r="U25" s="148">
        <v>70.12</v>
      </c>
      <c r="V25" s="148">
        <v>71.965</v>
      </c>
      <c r="W25" s="160">
        <v>76.165</v>
      </c>
      <c r="X25" s="148">
        <v>74.614</v>
      </c>
      <c r="Y25" s="160">
        <v>72.145</v>
      </c>
      <c r="Z25" s="148">
        <v>71.5</v>
      </c>
      <c r="AA25" s="215">
        <v>69</v>
      </c>
      <c r="AB25" s="149">
        <v>67.4</v>
      </c>
      <c r="AC25" s="149">
        <v>63</v>
      </c>
      <c r="AD25" s="149">
        <v>65.427</v>
      </c>
      <c r="AE25" s="149">
        <v>69.564</v>
      </c>
      <c r="AF25" s="149">
        <v>62.123</v>
      </c>
      <c r="AG25" s="243">
        <f>63647/1000</f>
        <v>63.647</v>
      </c>
      <c r="AH25" s="264">
        <v>61.4</v>
      </c>
      <c r="AI25" s="260">
        <v>66.052</v>
      </c>
      <c r="AJ25" s="260">
        <v>68.037</v>
      </c>
      <c r="AK25" s="260">
        <v>64.345</v>
      </c>
      <c r="AL25" s="281">
        <v>66.673</v>
      </c>
      <c r="AM25" s="281">
        <v>70.707</v>
      </c>
      <c r="AN25" s="281">
        <v>70.996</v>
      </c>
      <c r="AO25" s="306">
        <v>71.432</v>
      </c>
      <c r="AP25" s="170"/>
    </row>
    <row r="26" spans="2:47" ht="24.75" customHeight="1">
      <c r="B26" s="140" t="s">
        <v>5</v>
      </c>
      <c r="C26" s="141">
        <v>2.141</v>
      </c>
      <c r="D26" s="141">
        <v>3.674</v>
      </c>
      <c r="E26" s="141">
        <v>3.183</v>
      </c>
      <c r="F26" s="141">
        <v>3.302</v>
      </c>
      <c r="G26" s="141">
        <v>3.686</v>
      </c>
      <c r="H26" s="141">
        <v>2.983</v>
      </c>
      <c r="I26" s="142">
        <v>2.708</v>
      </c>
      <c r="J26" s="142">
        <v>2.592</v>
      </c>
      <c r="K26" s="142">
        <v>2.8</v>
      </c>
      <c r="L26" s="143">
        <v>2.721</v>
      </c>
      <c r="M26" s="143">
        <v>2.914</v>
      </c>
      <c r="N26" s="143">
        <v>3.384</v>
      </c>
      <c r="O26" s="143">
        <v>3.738</v>
      </c>
      <c r="P26" s="143">
        <v>3.817</v>
      </c>
      <c r="Q26" s="143">
        <v>4.034</v>
      </c>
      <c r="R26" s="143">
        <v>3.893</v>
      </c>
      <c r="S26" s="143">
        <v>4.135</v>
      </c>
      <c r="T26" s="143">
        <v>4.433</v>
      </c>
      <c r="U26" s="143">
        <v>4.893</v>
      </c>
      <c r="V26" s="143">
        <v>4.871</v>
      </c>
      <c r="W26" s="159">
        <v>5.179</v>
      </c>
      <c r="X26" s="143">
        <v>5.5</v>
      </c>
      <c r="Y26" s="159">
        <v>5.923</v>
      </c>
      <c r="Z26" s="143">
        <v>9.6</v>
      </c>
      <c r="AA26" s="214">
        <v>4.9</v>
      </c>
      <c r="AB26" s="144">
        <v>4.1</v>
      </c>
      <c r="AC26" s="144">
        <v>3.6</v>
      </c>
      <c r="AD26" s="144">
        <v>3.507</v>
      </c>
      <c r="AE26" s="144">
        <v>3.873</v>
      </c>
      <c r="AF26" s="144">
        <v>2.69</v>
      </c>
      <c r="AG26" s="244">
        <f>3421/1000</f>
        <v>3.421</v>
      </c>
      <c r="AH26" s="265">
        <v>2.1</v>
      </c>
      <c r="AI26" s="261">
        <v>2.223</v>
      </c>
      <c r="AJ26" s="261">
        <v>3.129</v>
      </c>
      <c r="AK26" s="261">
        <v>2.036</v>
      </c>
      <c r="AL26" s="282">
        <v>2.023</v>
      </c>
      <c r="AM26" s="282">
        <v>2.069</v>
      </c>
      <c r="AN26" s="282">
        <v>1.974</v>
      </c>
      <c r="AO26" s="309">
        <v>2.225</v>
      </c>
      <c r="AP26" s="170"/>
      <c r="AU26" s="308"/>
    </row>
    <row r="27" spans="2:42" ht="26.25" customHeight="1">
      <c r="B27" s="150" t="s">
        <v>72</v>
      </c>
      <c r="C27" s="151">
        <v>1354.177</v>
      </c>
      <c r="D27" s="151">
        <v>1661.073</v>
      </c>
      <c r="E27" s="151">
        <v>1801.444</v>
      </c>
      <c r="F27" s="151">
        <v>1852.628</v>
      </c>
      <c r="G27" s="151">
        <v>1940.439</v>
      </c>
      <c r="H27" s="151">
        <v>1986.962</v>
      </c>
      <c r="I27" s="152">
        <v>2040.724</v>
      </c>
      <c r="J27" s="152">
        <v>2057.558</v>
      </c>
      <c r="K27" s="204">
        <v>2117.783</v>
      </c>
      <c r="L27" s="171">
        <v>2174.833</v>
      </c>
      <c r="M27" s="171">
        <v>2228.159</v>
      </c>
      <c r="N27" s="171">
        <v>2268.264</v>
      </c>
      <c r="O27" s="171">
        <v>2349.652</v>
      </c>
      <c r="P27" s="171">
        <v>2428.31</v>
      </c>
      <c r="Q27" s="171">
        <v>2481.004</v>
      </c>
      <c r="R27" s="171">
        <v>2514.185</v>
      </c>
      <c r="S27" s="171">
        <v>2568.778</v>
      </c>
      <c r="T27" s="171">
        <v>2612.7619999999997</v>
      </c>
      <c r="U27" s="171">
        <v>2735.017</v>
      </c>
      <c r="V27" s="171">
        <v>2678.915254237288</v>
      </c>
      <c r="W27" s="171">
        <v>2728.754</v>
      </c>
      <c r="X27" s="171">
        <v>2782.5409999999997</v>
      </c>
      <c r="Y27" s="171">
        <v>2815.913</v>
      </c>
      <c r="Z27" s="171">
        <v>2859.2000000000003</v>
      </c>
      <c r="AA27" s="171">
        <f>AA28+AA29+AA30</f>
        <v>2936.7</v>
      </c>
      <c r="AB27" s="139">
        <f>AB28+AB29+AB30</f>
        <v>3003.0000000000005</v>
      </c>
      <c r="AC27" s="139">
        <v>3068.3</v>
      </c>
      <c r="AD27" s="139">
        <v>3168.807</v>
      </c>
      <c r="AE27" s="220">
        <v>3234.386</v>
      </c>
      <c r="AF27" s="220">
        <v>3312.656</v>
      </c>
      <c r="AG27" s="246">
        <f>3366393/1000</f>
        <v>3366.393</v>
      </c>
      <c r="AH27" s="267">
        <f>AH28+AH29+AH30</f>
        <v>3403.6000000000004</v>
      </c>
      <c r="AI27" s="262">
        <v>3424.97</v>
      </c>
      <c r="AJ27" s="262">
        <v>3489.851</v>
      </c>
      <c r="AK27" s="262">
        <v>3537.55</v>
      </c>
      <c r="AL27" s="286">
        <v>3571.397</v>
      </c>
      <c r="AM27" s="286">
        <v>3622.28</v>
      </c>
      <c r="AN27" s="286">
        <v>3690.6</v>
      </c>
      <c r="AO27" s="310">
        <v>3765.868</v>
      </c>
      <c r="AP27" s="170"/>
    </row>
    <row r="28" spans="2:42" ht="21.75" customHeight="1">
      <c r="B28" s="140" t="s">
        <v>3</v>
      </c>
      <c r="C28" s="141">
        <v>532.415</v>
      </c>
      <c r="D28" s="141">
        <v>652.058</v>
      </c>
      <c r="E28" s="141">
        <v>705.906</v>
      </c>
      <c r="F28" s="141">
        <v>723.96</v>
      </c>
      <c r="G28" s="141">
        <v>764.625</v>
      </c>
      <c r="H28" s="141">
        <v>783.44</v>
      </c>
      <c r="I28" s="142">
        <v>805.126</v>
      </c>
      <c r="J28" s="142">
        <v>813.257</v>
      </c>
      <c r="K28" s="142">
        <v>839.834</v>
      </c>
      <c r="L28" s="143">
        <v>861.78</v>
      </c>
      <c r="M28" s="143">
        <v>883.071</v>
      </c>
      <c r="N28" s="143">
        <v>902.349</v>
      </c>
      <c r="O28" s="143">
        <v>940.489</v>
      </c>
      <c r="P28" s="143">
        <v>974.373</v>
      </c>
      <c r="Q28" s="143">
        <v>999.399</v>
      </c>
      <c r="R28" s="143">
        <v>1011.995</v>
      </c>
      <c r="S28" s="143">
        <v>1037.765</v>
      </c>
      <c r="T28" s="143">
        <v>1057.697</v>
      </c>
      <c r="U28" s="143">
        <v>1106.163</v>
      </c>
      <c r="V28" s="143">
        <v>1085.4295704295705</v>
      </c>
      <c r="W28" s="159">
        <v>1103.056</v>
      </c>
      <c r="X28" s="143">
        <v>1184.905</v>
      </c>
      <c r="Y28" s="143">
        <v>1149.4</v>
      </c>
      <c r="Z28" s="143">
        <v>1156.6</v>
      </c>
      <c r="AA28" s="143">
        <v>1220.3</v>
      </c>
      <c r="AB28" s="144">
        <v>1231.4</v>
      </c>
      <c r="AC28" s="144">
        <v>1266.8</v>
      </c>
      <c r="AD28" s="144">
        <v>1314.258</v>
      </c>
      <c r="AE28" s="144">
        <v>1355.437</v>
      </c>
      <c r="AF28" s="144">
        <v>1406.652</v>
      </c>
      <c r="AG28" s="244">
        <f>1421937/1000</f>
        <v>1421.937</v>
      </c>
      <c r="AH28" s="265">
        <v>1445.8</v>
      </c>
      <c r="AI28" s="261">
        <v>1480.715</v>
      </c>
      <c r="AJ28" s="261">
        <v>1497.247</v>
      </c>
      <c r="AK28" s="261">
        <v>1527.861</v>
      </c>
      <c r="AL28" s="282">
        <v>1541.856</v>
      </c>
      <c r="AM28" s="282">
        <v>1576.629</v>
      </c>
      <c r="AN28" s="282">
        <v>1576.679</v>
      </c>
      <c r="AO28" s="309">
        <v>1621.131</v>
      </c>
      <c r="AP28" s="170"/>
    </row>
    <row r="29" spans="2:42" ht="24" customHeight="1">
      <c r="B29" s="145" t="s">
        <v>4</v>
      </c>
      <c r="C29" s="146">
        <v>725.018</v>
      </c>
      <c r="D29" s="146">
        <v>878.714</v>
      </c>
      <c r="E29" s="146">
        <v>945.894</v>
      </c>
      <c r="F29" s="146">
        <v>972.023</v>
      </c>
      <c r="G29" s="146">
        <v>1013</v>
      </c>
      <c r="H29" s="146">
        <v>1035.151</v>
      </c>
      <c r="I29" s="147">
        <v>1060.047</v>
      </c>
      <c r="J29" s="147">
        <v>1062.893</v>
      </c>
      <c r="K29" s="147">
        <v>1090.715</v>
      </c>
      <c r="L29" s="148">
        <v>1120.604</v>
      </c>
      <c r="M29" s="148">
        <v>1146.51</v>
      </c>
      <c r="N29" s="148">
        <v>1162.583</v>
      </c>
      <c r="O29" s="148">
        <v>1200.301</v>
      </c>
      <c r="P29" s="148">
        <v>1236.948</v>
      </c>
      <c r="Q29" s="148">
        <v>1259.494</v>
      </c>
      <c r="R29" s="148">
        <v>1275.456</v>
      </c>
      <c r="S29" s="148">
        <v>1301.214</v>
      </c>
      <c r="T29" s="148">
        <v>1320.542</v>
      </c>
      <c r="U29" s="148">
        <v>1381.549</v>
      </c>
      <c r="V29" s="148">
        <v>1355.109</v>
      </c>
      <c r="W29" s="160">
        <v>1375.911</v>
      </c>
      <c r="X29" s="148">
        <v>1343.473</v>
      </c>
      <c r="Y29" s="148">
        <v>1407.687</v>
      </c>
      <c r="Z29" s="148">
        <v>1437.7</v>
      </c>
      <c r="AA29" s="148">
        <v>1445.1</v>
      </c>
      <c r="AB29" s="149">
        <v>1491.7</v>
      </c>
      <c r="AC29" s="149">
        <v>1517.7</v>
      </c>
      <c r="AD29" s="149">
        <v>1563.071</v>
      </c>
      <c r="AE29" s="149">
        <v>1585.538</v>
      </c>
      <c r="AF29" s="149">
        <v>1608.078</v>
      </c>
      <c r="AG29" s="243">
        <f>1631459/1000</f>
        <v>1631.459</v>
      </c>
      <c r="AH29" s="264">
        <v>1653</v>
      </c>
      <c r="AI29" s="260">
        <v>1630.718</v>
      </c>
      <c r="AJ29" s="260">
        <v>1680.248</v>
      </c>
      <c r="AK29" s="260">
        <v>1693.326</v>
      </c>
      <c r="AL29" s="281">
        <v>1703.04</v>
      </c>
      <c r="AM29" s="281">
        <v>1718.128</v>
      </c>
      <c r="AN29" s="281">
        <v>1774.779</v>
      </c>
      <c r="AO29" s="306">
        <v>1802.499</v>
      </c>
      <c r="AP29" s="170"/>
    </row>
    <row r="30" spans="2:42" ht="20.25" customHeight="1" thickBot="1">
      <c r="B30" s="154" t="s">
        <v>5</v>
      </c>
      <c r="C30" s="155">
        <v>96.744</v>
      </c>
      <c r="D30" s="155">
        <v>130.301</v>
      </c>
      <c r="E30" s="155">
        <v>149.644</v>
      </c>
      <c r="F30" s="155">
        <v>156.64</v>
      </c>
      <c r="G30" s="155">
        <v>162.245</v>
      </c>
      <c r="H30" s="155">
        <v>168.371</v>
      </c>
      <c r="I30" s="156">
        <v>175.551</v>
      </c>
      <c r="J30" s="156">
        <v>181.408</v>
      </c>
      <c r="K30" s="156">
        <v>187.234</v>
      </c>
      <c r="L30" s="157">
        <v>192.449</v>
      </c>
      <c r="M30" s="157">
        <v>198.578</v>
      </c>
      <c r="N30" s="157">
        <v>203.332</v>
      </c>
      <c r="O30" s="157">
        <v>208.862</v>
      </c>
      <c r="P30" s="157">
        <v>216.989</v>
      </c>
      <c r="Q30" s="157">
        <v>222.111</v>
      </c>
      <c r="R30" s="157">
        <v>226.734</v>
      </c>
      <c r="S30" s="157">
        <v>229.799</v>
      </c>
      <c r="T30" s="157">
        <v>234.523</v>
      </c>
      <c r="U30" s="157">
        <v>247.305</v>
      </c>
      <c r="V30" s="157">
        <v>244.83832335329342</v>
      </c>
      <c r="W30" s="161">
        <v>249.787</v>
      </c>
      <c r="X30" s="157">
        <v>254.163</v>
      </c>
      <c r="Y30" s="157">
        <v>258.809</v>
      </c>
      <c r="Z30" s="157">
        <v>264.9</v>
      </c>
      <c r="AA30" s="157">
        <v>271.3</v>
      </c>
      <c r="AB30" s="157">
        <v>279.9</v>
      </c>
      <c r="AC30" s="157">
        <v>283.8</v>
      </c>
      <c r="AD30" s="157">
        <v>291.478</v>
      </c>
      <c r="AE30" s="157">
        <v>293.411</v>
      </c>
      <c r="AF30" s="157">
        <v>297.926</v>
      </c>
      <c r="AG30" s="156">
        <f>312997/1000</f>
        <v>312.997</v>
      </c>
      <c r="AH30" s="266">
        <v>304.8</v>
      </c>
      <c r="AI30" s="263">
        <v>313.537</v>
      </c>
      <c r="AJ30" s="263">
        <v>312.356</v>
      </c>
      <c r="AK30" s="263">
        <v>316.543</v>
      </c>
      <c r="AL30" s="284">
        <v>326.501</v>
      </c>
      <c r="AM30" s="284">
        <v>327.528</v>
      </c>
      <c r="AN30" s="284">
        <v>339.142</v>
      </c>
      <c r="AO30" s="311">
        <v>342.238</v>
      </c>
      <c r="AP30" s="170"/>
    </row>
    <row r="31" spans="2:42" ht="13.5">
      <c r="B31" s="162"/>
      <c r="C31" s="163"/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AP31" s="170"/>
    </row>
    <row r="32" spans="2:42" ht="13.5">
      <c r="B32" s="162"/>
      <c r="C32" s="163"/>
      <c r="D32" s="163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AP32" s="170"/>
    </row>
    <row r="33" spans="2:42" ht="13.5">
      <c r="B33" s="134" t="s">
        <v>83</v>
      </c>
      <c r="AP33" s="170"/>
    </row>
    <row r="34" spans="2:42" ht="14.25" thickBot="1">
      <c r="B34" s="134"/>
      <c r="AP34" s="170"/>
    </row>
    <row r="35" spans="2:42" ht="21.75" customHeight="1" thickBot="1">
      <c r="B35" s="228" t="s">
        <v>59</v>
      </c>
      <c r="C35" s="177">
        <v>41274</v>
      </c>
      <c r="D35" s="177">
        <v>41639</v>
      </c>
      <c r="E35" s="177">
        <v>41820</v>
      </c>
      <c r="F35" s="177">
        <v>41912</v>
      </c>
      <c r="G35" s="177">
        <v>42004</v>
      </c>
      <c r="H35" s="177">
        <v>42094</v>
      </c>
      <c r="I35" s="177">
        <v>42185</v>
      </c>
      <c r="J35" s="177">
        <v>42277</v>
      </c>
      <c r="K35" s="177">
        <v>42369</v>
      </c>
      <c r="L35" s="177">
        <v>42460</v>
      </c>
      <c r="M35" s="177">
        <v>42551</v>
      </c>
      <c r="N35" s="177">
        <v>42643</v>
      </c>
      <c r="O35" s="177">
        <v>42735</v>
      </c>
      <c r="P35" s="177">
        <v>42825</v>
      </c>
      <c r="Q35" s="177">
        <v>42916</v>
      </c>
      <c r="R35" s="177">
        <v>43008</v>
      </c>
      <c r="S35" s="177">
        <v>43100</v>
      </c>
      <c r="T35" s="177">
        <v>43190</v>
      </c>
      <c r="U35" s="177">
        <v>43281</v>
      </c>
      <c r="V35" s="177">
        <v>43373</v>
      </c>
      <c r="W35" s="177">
        <v>43465</v>
      </c>
      <c r="X35" s="177">
        <v>43555</v>
      </c>
      <c r="Y35" s="177">
        <v>43646</v>
      </c>
      <c r="Z35" s="177">
        <v>43709</v>
      </c>
      <c r="AA35" s="177">
        <v>44184</v>
      </c>
      <c r="AB35" s="177">
        <v>43921</v>
      </c>
      <c r="AC35" s="177">
        <v>44012</v>
      </c>
      <c r="AD35" s="177">
        <v>44094</v>
      </c>
      <c r="AE35" s="177">
        <v>44196</v>
      </c>
      <c r="AF35" s="177">
        <v>44286</v>
      </c>
      <c r="AG35" s="247">
        <v>44377</v>
      </c>
      <c r="AH35" s="250">
        <v>44469</v>
      </c>
      <c r="AI35" s="245">
        <v>44561</v>
      </c>
      <c r="AJ35" s="250">
        <v>44651</v>
      </c>
      <c r="AK35" s="250">
        <v>44742</v>
      </c>
      <c r="AL35" s="250">
        <v>44834</v>
      </c>
      <c r="AM35" s="250">
        <v>44926</v>
      </c>
      <c r="AN35" s="250">
        <v>45016</v>
      </c>
      <c r="AO35" s="250">
        <v>45107</v>
      </c>
      <c r="AP35" s="170"/>
    </row>
    <row r="36" spans="2:42" ht="24.75" customHeight="1">
      <c r="B36" s="135" t="s">
        <v>81</v>
      </c>
      <c r="C36" s="136">
        <v>81.65500000000002</v>
      </c>
      <c r="D36" s="136">
        <v>82.43699999999998</v>
      </c>
      <c r="E36" s="136">
        <v>102.792</v>
      </c>
      <c r="F36" s="136">
        <v>97.746</v>
      </c>
      <c r="G36" s="136">
        <v>92.272</v>
      </c>
      <c r="H36" s="136">
        <v>103.489</v>
      </c>
      <c r="I36" s="137">
        <v>98.683</v>
      </c>
      <c r="J36" s="137">
        <v>96.767</v>
      </c>
      <c r="K36" s="137">
        <v>95.7</v>
      </c>
      <c r="L36" s="138">
        <v>102.7</v>
      </c>
      <c r="M36" s="138">
        <v>110.508</v>
      </c>
      <c r="N36" s="138">
        <v>108.998</v>
      </c>
      <c r="O36" s="138">
        <v>98.926</v>
      </c>
      <c r="P36" s="138">
        <v>121.904</v>
      </c>
      <c r="Q36" s="138">
        <v>125.735</v>
      </c>
      <c r="R36" s="138">
        <v>133.759</v>
      </c>
      <c r="S36" s="138">
        <v>137.093</v>
      </c>
      <c r="T36" s="138">
        <v>140.363</v>
      </c>
      <c r="U36" s="138">
        <v>144.903</v>
      </c>
      <c r="V36" s="138">
        <v>160.252</v>
      </c>
      <c r="W36" s="139">
        <v>161.507</v>
      </c>
      <c r="X36" s="138">
        <v>172.979</v>
      </c>
      <c r="Y36" s="139">
        <v>188.112</v>
      </c>
      <c r="Z36" s="139">
        <f>Z37+Z38+Z39</f>
        <v>297.5</v>
      </c>
      <c r="AA36" s="139">
        <f>AA37+AA38+AA39</f>
        <v>390.9</v>
      </c>
      <c r="AB36" s="139">
        <v>413.6</v>
      </c>
      <c r="AC36" s="139">
        <v>425.49999999999994</v>
      </c>
      <c r="AD36" s="139">
        <f>AD37+AD38+AD39</f>
        <v>496.43500000000006</v>
      </c>
      <c r="AE36" s="139">
        <f>AE37+AE38+AE39</f>
        <v>564.699</v>
      </c>
      <c r="AF36" s="139">
        <v>234.184</v>
      </c>
      <c r="AG36" s="242">
        <f>226999/1000</f>
        <v>226.999</v>
      </c>
      <c r="AH36" s="267">
        <f>AH37+AH38+AH39</f>
        <v>214.90000000000003</v>
      </c>
      <c r="AI36" s="262">
        <v>294.648</v>
      </c>
      <c r="AJ36" s="262">
        <v>253.311</v>
      </c>
      <c r="AK36" s="262">
        <v>152.981</v>
      </c>
      <c r="AL36" s="286">
        <v>168.416</v>
      </c>
      <c r="AM36" s="286">
        <v>173.063</v>
      </c>
      <c r="AN36" s="286">
        <v>202.587</v>
      </c>
      <c r="AO36" s="310">
        <v>230.107</v>
      </c>
      <c r="AP36" s="318"/>
    </row>
    <row r="37" spans="2:43" ht="21" customHeight="1">
      <c r="B37" s="140" t="s">
        <v>3</v>
      </c>
      <c r="C37" s="141">
        <v>26.796</v>
      </c>
      <c r="D37" s="141">
        <v>26.247999999999998</v>
      </c>
      <c r="E37" s="141">
        <v>34.521</v>
      </c>
      <c r="F37" s="141">
        <v>31.88</v>
      </c>
      <c r="G37" s="141">
        <v>29.652</v>
      </c>
      <c r="H37" s="141">
        <v>34.177</v>
      </c>
      <c r="I37" s="142">
        <v>31.068</v>
      </c>
      <c r="J37" s="142">
        <v>31.604</v>
      </c>
      <c r="K37" s="142">
        <v>42</v>
      </c>
      <c r="L37" s="143">
        <v>33.1</v>
      </c>
      <c r="M37" s="143">
        <v>37.014</v>
      </c>
      <c r="N37" s="143">
        <v>35.768</v>
      </c>
      <c r="O37" s="143">
        <v>34.536</v>
      </c>
      <c r="P37" s="143">
        <v>44.409</v>
      </c>
      <c r="Q37" s="143">
        <v>47.405</v>
      </c>
      <c r="R37" s="143">
        <v>52.155</v>
      </c>
      <c r="S37" s="143">
        <v>54.201</v>
      </c>
      <c r="T37" s="143">
        <v>56.532</v>
      </c>
      <c r="U37" s="143">
        <v>58.82</v>
      </c>
      <c r="V37" s="143">
        <v>63.643</v>
      </c>
      <c r="W37" s="144">
        <v>67.828</v>
      </c>
      <c r="X37" s="143">
        <v>72.681</v>
      </c>
      <c r="Y37" s="144">
        <v>76.085</v>
      </c>
      <c r="Z37" s="144">
        <v>104.9</v>
      </c>
      <c r="AA37" s="144">
        <v>160.7</v>
      </c>
      <c r="AB37" s="144">
        <v>170.4</v>
      </c>
      <c r="AC37" s="144">
        <v>174.2</v>
      </c>
      <c r="AD37" s="144">
        <v>196.205</v>
      </c>
      <c r="AE37" s="144">
        <v>222.971</v>
      </c>
      <c r="AF37" s="144">
        <v>105.212</v>
      </c>
      <c r="AG37" s="244">
        <f>108897/1000</f>
        <v>108.897</v>
      </c>
      <c r="AH37" s="265">
        <v>100.7</v>
      </c>
      <c r="AI37" s="261">
        <v>133.505</v>
      </c>
      <c r="AJ37" s="261">
        <v>100.622</v>
      </c>
      <c r="AK37" s="261">
        <v>63.418</v>
      </c>
      <c r="AL37" s="282">
        <v>68.589</v>
      </c>
      <c r="AM37" s="282">
        <v>70.633</v>
      </c>
      <c r="AN37" s="282">
        <v>83.906</v>
      </c>
      <c r="AO37" s="309">
        <v>95.069</v>
      </c>
      <c r="AP37" s="319"/>
      <c r="AQ37" s="308"/>
    </row>
    <row r="38" spans="2:42" ht="21.75" customHeight="1">
      <c r="B38" s="145" t="s">
        <v>4</v>
      </c>
      <c r="C38" s="146">
        <v>51.7</v>
      </c>
      <c r="D38" s="146">
        <v>53.863</v>
      </c>
      <c r="E38" s="146">
        <v>65.154</v>
      </c>
      <c r="F38" s="146">
        <v>61.719</v>
      </c>
      <c r="G38" s="146">
        <v>59</v>
      </c>
      <c r="H38" s="146">
        <v>66.072</v>
      </c>
      <c r="I38" s="147">
        <v>64.029</v>
      </c>
      <c r="J38" s="147">
        <v>61.054</v>
      </c>
      <c r="K38" s="147">
        <v>50.4</v>
      </c>
      <c r="L38" s="148">
        <v>66.3</v>
      </c>
      <c r="M38" s="148">
        <v>70.2</v>
      </c>
      <c r="N38" s="148">
        <v>69.189</v>
      </c>
      <c r="O38" s="148">
        <v>60.841</v>
      </c>
      <c r="P38" s="148">
        <v>73.608</v>
      </c>
      <c r="Q38" s="148">
        <v>74.507</v>
      </c>
      <c r="R38" s="148">
        <v>78.446</v>
      </c>
      <c r="S38" s="148">
        <v>79.672</v>
      </c>
      <c r="T38" s="148">
        <v>80.123</v>
      </c>
      <c r="U38" s="148">
        <v>82.927</v>
      </c>
      <c r="V38" s="148">
        <v>87.445</v>
      </c>
      <c r="W38" s="149">
        <v>90.246</v>
      </c>
      <c r="X38" s="148">
        <v>96.266</v>
      </c>
      <c r="Y38" s="149">
        <v>100.724</v>
      </c>
      <c r="Z38" s="149">
        <v>171.4</v>
      </c>
      <c r="AA38" s="149">
        <v>224.3</v>
      </c>
      <c r="AB38" s="149">
        <v>239.5</v>
      </c>
      <c r="AC38" s="149">
        <v>248.1</v>
      </c>
      <c r="AD38" s="149">
        <v>293.653</v>
      </c>
      <c r="AE38" s="149">
        <v>333.707</v>
      </c>
      <c r="AF38" s="149">
        <v>124.511</v>
      </c>
      <c r="AG38" s="243">
        <f>112084/1000</f>
        <v>112.084</v>
      </c>
      <c r="AH38" s="264">
        <v>110.4</v>
      </c>
      <c r="AI38" s="260">
        <v>156.248</v>
      </c>
      <c r="AJ38" s="260">
        <v>152.504</v>
      </c>
      <c r="AK38" s="260">
        <v>79.371</v>
      </c>
      <c r="AL38" s="281">
        <v>99.644</v>
      </c>
      <c r="AM38" s="281">
        <v>102.249</v>
      </c>
      <c r="AN38" s="281">
        <v>118.49</v>
      </c>
      <c r="AO38" s="306">
        <v>134.855</v>
      </c>
      <c r="AP38" s="319"/>
    </row>
    <row r="39" spans="2:42" ht="18.75" customHeight="1">
      <c r="B39" s="140" t="s">
        <v>5</v>
      </c>
      <c r="C39" s="141">
        <v>3.159</v>
      </c>
      <c r="D39" s="141">
        <v>2.326</v>
      </c>
      <c r="E39" s="141">
        <v>3.117</v>
      </c>
      <c r="F39" s="141">
        <v>4.147</v>
      </c>
      <c r="G39" s="141">
        <v>3.031</v>
      </c>
      <c r="H39" s="141">
        <v>3.24</v>
      </c>
      <c r="I39" s="142">
        <v>3.586</v>
      </c>
      <c r="J39" s="142">
        <v>4.109</v>
      </c>
      <c r="K39" s="142">
        <v>3.3</v>
      </c>
      <c r="L39" s="143">
        <v>3.316</v>
      </c>
      <c r="M39" s="143">
        <v>3.294</v>
      </c>
      <c r="N39" s="143">
        <v>4.041</v>
      </c>
      <c r="O39" s="143">
        <v>3.549</v>
      </c>
      <c r="P39" s="143">
        <v>3.887</v>
      </c>
      <c r="Q39" s="143">
        <v>3.823</v>
      </c>
      <c r="R39" s="143">
        <v>3.158</v>
      </c>
      <c r="S39" s="143">
        <v>3.22</v>
      </c>
      <c r="T39" s="143">
        <v>3.708</v>
      </c>
      <c r="U39" s="143">
        <v>3.156</v>
      </c>
      <c r="V39" s="143">
        <v>9.164</v>
      </c>
      <c r="W39" s="144">
        <v>3.433</v>
      </c>
      <c r="X39" s="143">
        <v>4.032</v>
      </c>
      <c r="Y39" s="144">
        <v>11.303</v>
      </c>
      <c r="Z39" s="144">
        <v>21.2</v>
      </c>
      <c r="AA39" s="144">
        <v>5.9</v>
      </c>
      <c r="AB39" s="144">
        <v>3.7</v>
      </c>
      <c r="AC39" s="144">
        <v>3.2</v>
      </c>
      <c r="AD39" s="144">
        <v>6.577</v>
      </c>
      <c r="AE39" s="144">
        <v>8.021</v>
      </c>
      <c r="AF39" s="144">
        <v>4.461</v>
      </c>
      <c r="AG39" s="244">
        <f>6018/1000</f>
        <v>6.018</v>
      </c>
      <c r="AH39" s="266">
        <v>3.8</v>
      </c>
      <c r="AI39" s="261">
        <v>4.895</v>
      </c>
      <c r="AJ39" s="261">
        <v>185</v>
      </c>
      <c r="AK39" s="261">
        <v>192</v>
      </c>
      <c r="AL39" s="282">
        <v>183</v>
      </c>
      <c r="AM39" s="282">
        <v>181</v>
      </c>
      <c r="AN39" s="282">
        <v>191</v>
      </c>
      <c r="AO39" s="309">
        <v>183</v>
      </c>
      <c r="AP39" s="320"/>
    </row>
    <row r="40" spans="2:42" ht="23.25" customHeight="1">
      <c r="B40" s="150" t="s">
        <v>72</v>
      </c>
      <c r="C40" s="151">
        <v>634.623</v>
      </c>
      <c r="D40" s="151">
        <v>700.3269999999999</v>
      </c>
      <c r="E40" s="151">
        <v>595.556</v>
      </c>
      <c r="F40" s="151">
        <v>618.468</v>
      </c>
      <c r="G40" s="151">
        <v>630.872</v>
      </c>
      <c r="H40" s="151">
        <v>640.925</v>
      </c>
      <c r="I40" s="152">
        <v>678.168</v>
      </c>
      <c r="J40" s="152">
        <v>687.723</v>
      </c>
      <c r="K40" s="152">
        <v>676.098</v>
      </c>
      <c r="L40" s="153">
        <v>744.999</v>
      </c>
      <c r="M40" s="153">
        <v>780.215</v>
      </c>
      <c r="N40" s="153">
        <v>793.482</v>
      </c>
      <c r="O40" s="153">
        <v>830.625</v>
      </c>
      <c r="P40" s="153">
        <v>859.895</v>
      </c>
      <c r="Q40" s="153">
        <v>875.519</v>
      </c>
      <c r="R40" s="153">
        <v>900.625</v>
      </c>
      <c r="S40" s="153">
        <v>889.532</v>
      </c>
      <c r="T40" s="153">
        <v>966.505</v>
      </c>
      <c r="U40" s="153">
        <v>952.834</v>
      </c>
      <c r="V40" s="153">
        <v>977.914</v>
      </c>
      <c r="W40" s="164">
        <v>949.693</v>
      </c>
      <c r="X40" s="153">
        <v>947.142</v>
      </c>
      <c r="Y40" s="164">
        <v>956.59</v>
      </c>
      <c r="Z40" s="164">
        <v>965.3</v>
      </c>
      <c r="AA40" s="164">
        <f>AA41+AA42+AA43</f>
        <v>970.6</v>
      </c>
      <c r="AB40" s="164">
        <v>951</v>
      </c>
      <c r="AC40" s="164">
        <v>1039.8</v>
      </c>
      <c r="AD40" s="164">
        <f>AD41+AD42+AD43</f>
        <v>1100.554</v>
      </c>
      <c r="AE40" s="164">
        <f>AE41+AE42+AE43</f>
        <v>1135.32</v>
      </c>
      <c r="AF40" s="164">
        <v>1146.049</v>
      </c>
      <c r="AG40" s="248">
        <f>1230723/1000</f>
        <v>1230.723</v>
      </c>
      <c r="AH40" s="267">
        <f>AH41+AH42+AH43</f>
        <v>1348.1000000000001</v>
      </c>
      <c r="AI40" s="262">
        <v>1435.135</v>
      </c>
      <c r="AJ40" s="262">
        <v>1462.332</v>
      </c>
      <c r="AK40" s="286">
        <v>1440.898</v>
      </c>
      <c r="AL40" s="286">
        <v>1473.369</v>
      </c>
      <c r="AM40" s="286">
        <v>1582.701</v>
      </c>
      <c r="AN40" s="286">
        <v>1847.795</v>
      </c>
      <c r="AO40" s="310">
        <v>1950.161</v>
      </c>
      <c r="AP40" s="170"/>
    </row>
    <row r="41" spans="2:41" ht="24" customHeight="1">
      <c r="B41" s="140" t="s">
        <v>3</v>
      </c>
      <c r="C41" s="141">
        <v>252.385</v>
      </c>
      <c r="D41" s="141">
        <v>266.24199999999996</v>
      </c>
      <c r="E41" s="141">
        <v>213.49400000000003</v>
      </c>
      <c r="F41" s="141">
        <v>224.243</v>
      </c>
      <c r="G41" s="141">
        <v>222.848</v>
      </c>
      <c r="H41" s="141">
        <v>227.12</v>
      </c>
      <c r="I41" s="142">
        <v>240.867</v>
      </c>
      <c r="J41" s="142">
        <v>244.127</v>
      </c>
      <c r="K41" s="142">
        <v>241.997</v>
      </c>
      <c r="L41" s="143">
        <v>268.028</v>
      </c>
      <c r="M41" s="143">
        <v>270.154</v>
      </c>
      <c r="N41" s="143">
        <v>285.964</v>
      </c>
      <c r="O41" s="143">
        <v>308.93101</v>
      </c>
      <c r="P41" s="143">
        <v>324.51301</v>
      </c>
      <c r="Q41" s="143">
        <v>333.64</v>
      </c>
      <c r="R41" s="143">
        <v>339.4808</v>
      </c>
      <c r="S41" s="143">
        <v>335.394</v>
      </c>
      <c r="T41" s="143">
        <v>374.198</v>
      </c>
      <c r="U41" s="143">
        <v>358.273</v>
      </c>
      <c r="V41" s="143">
        <v>375.328</v>
      </c>
      <c r="W41" s="144">
        <v>365.402</v>
      </c>
      <c r="X41" s="143">
        <v>347.117</v>
      </c>
      <c r="Y41" s="144">
        <v>366.735</v>
      </c>
      <c r="Z41" s="144">
        <v>382</v>
      </c>
      <c r="AA41" s="144">
        <v>377.9</v>
      </c>
      <c r="AB41" s="144">
        <v>369.4</v>
      </c>
      <c r="AC41" s="144">
        <v>404.6</v>
      </c>
      <c r="AD41" s="144">
        <v>428.342</v>
      </c>
      <c r="AE41" s="144">
        <v>437.856</v>
      </c>
      <c r="AF41" s="144">
        <v>454.844</v>
      </c>
      <c r="AG41" s="244">
        <f>517166/1000</f>
        <v>517.166</v>
      </c>
      <c r="AH41" s="266">
        <v>552</v>
      </c>
      <c r="AI41" s="261">
        <v>580.948</v>
      </c>
      <c r="AJ41" s="261">
        <v>594.513</v>
      </c>
      <c r="AK41" s="261">
        <v>577.608</v>
      </c>
      <c r="AL41" s="282">
        <v>610.286</v>
      </c>
      <c r="AM41" s="282">
        <v>674.936</v>
      </c>
      <c r="AN41" s="282">
        <v>761.466</v>
      </c>
      <c r="AO41" s="309">
        <v>816.529</v>
      </c>
    </row>
    <row r="42" spans="2:41" ht="28.5" customHeight="1">
      <c r="B42" s="145" t="s">
        <v>4</v>
      </c>
      <c r="C42" s="146">
        <v>354.182</v>
      </c>
      <c r="D42" s="146">
        <v>382.28599999999994</v>
      </c>
      <c r="E42" s="146">
        <v>340.106</v>
      </c>
      <c r="F42" s="146">
        <v>359.633</v>
      </c>
      <c r="G42" s="146">
        <v>355.603</v>
      </c>
      <c r="H42" s="146">
        <v>360.499</v>
      </c>
      <c r="I42" s="147">
        <v>380.744</v>
      </c>
      <c r="J42" s="147">
        <v>384.353</v>
      </c>
      <c r="K42" s="147">
        <v>372.575</v>
      </c>
      <c r="L42" s="148">
        <v>410.766</v>
      </c>
      <c r="M42" s="148">
        <v>433.602</v>
      </c>
      <c r="N42" s="148">
        <v>435.633</v>
      </c>
      <c r="O42" s="148">
        <v>462.81699</v>
      </c>
      <c r="P42" s="148">
        <v>473.69299</v>
      </c>
      <c r="Q42" s="148">
        <v>480.037</v>
      </c>
      <c r="R42" s="148">
        <v>496.35720000000003</v>
      </c>
      <c r="S42" s="148">
        <v>496.6</v>
      </c>
      <c r="T42" s="148">
        <v>531.005</v>
      </c>
      <c r="U42" s="148">
        <v>525.046</v>
      </c>
      <c r="V42" s="148">
        <v>534.833</v>
      </c>
      <c r="W42" s="149">
        <v>518.496</v>
      </c>
      <c r="X42" s="148">
        <v>517.059</v>
      </c>
      <c r="Y42" s="149">
        <v>513.127</v>
      </c>
      <c r="Z42" s="149">
        <v>511.8</v>
      </c>
      <c r="AA42" s="149">
        <v>518</v>
      </c>
      <c r="AB42" s="149">
        <v>514.2</v>
      </c>
      <c r="AC42" s="149">
        <v>561.1</v>
      </c>
      <c r="AD42" s="149">
        <v>591.19</v>
      </c>
      <c r="AE42" s="149">
        <v>612.451</v>
      </c>
      <c r="AF42" s="149">
        <v>608.473</v>
      </c>
      <c r="AG42" s="243">
        <f>628795/1000</f>
        <v>628.795</v>
      </c>
      <c r="AH42" s="264">
        <v>703.4</v>
      </c>
      <c r="AI42" s="260">
        <v>747.788</v>
      </c>
      <c r="AJ42" s="260">
        <v>769.421</v>
      </c>
      <c r="AK42" s="260">
        <v>770.987</v>
      </c>
      <c r="AL42" s="281">
        <v>763.771</v>
      </c>
      <c r="AM42" s="281">
        <v>810.295</v>
      </c>
      <c r="AN42" s="281">
        <v>968.898</v>
      </c>
      <c r="AO42" s="306">
        <v>993.929</v>
      </c>
    </row>
    <row r="43" spans="2:41" ht="22.5" customHeight="1" thickBot="1">
      <c r="B43" s="154" t="s">
        <v>5</v>
      </c>
      <c r="C43" s="155">
        <v>28.055999999999997</v>
      </c>
      <c r="D43" s="155">
        <v>51.79900000000001</v>
      </c>
      <c r="E43" s="155">
        <v>41.95599999999999</v>
      </c>
      <c r="F43" s="155">
        <v>34.592</v>
      </c>
      <c r="G43" s="155">
        <v>52.421</v>
      </c>
      <c r="H43" s="155">
        <v>53.306</v>
      </c>
      <c r="I43" s="156">
        <v>56.557</v>
      </c>
      <c r="J43" s="156">
        <v>59.243</v>
      </c>
      <c r="K43" s="156">
        <v>61.526</v>
      </c>
      <c r="L43" s="157">
        <v>66.205</v>
      </c>
      <c r="M43" s="157">
        <v>76.459</v>
      </c>
      <c r="N43" s="157">
        <v>71.885</v>
      </c>
      <c r="O43" s="157">
        <v>58.877</v>
      </c>
      <c r="P43" s="157">
        <v>61.689</v>
      </c>
      <c r="Q43" s="157">
        <v>61.842</v>
      </c>
      <c r="R43" s="157">
        <v>64.787</v>
      </c>
      <c r="S43" s="157">
        <v>57.484</v>
      </c>
      <c r="T43" s="157">
        <v>61.302</v>
      </c>
      <c r="U43" s="157">
        <v>69.515</v>
      </c>
      <c r="V43" s="157">
        <v>67.753</v>
      </c>
      <c r="W43" s="165">
        <v>65.795</v>
      </c>
      <c r="X43" s="157">
        <v>82.966</v>
      </c>
      <c r="Y43" s="165">
        <v>76.728</v>
      </c>
      <c r="Z43" s="165">
        <v>71.5</v>
      </c>
      <c r="AA43" s="165">
        <v>74.7</v>
      </c>
      <c r="AB43" s="165">
        <v>67.4</v>
      </c>
      <c r="AC43" s="165">
        <v>74.1</v>
      </c>
      <c r="AD43" s="165">
        <v>81.022</v>
      </c>
      <c r="AE43" s="165">
        <v>85.013</v>
      </c>
      <c r="AF43" s="165">
        <v>82.732</v>
      </c>
      <c r="AG43" s="249">
        <f>84762/1000</f>
        <v>84.762</v>
      </c>
      <c r="AH43" s="266">
        <v>92.7</v>
      </c>
      <c r="AI43" s="261">
        <v>106.399</v>
      </c>
      <c r="AJ43" s="261">
        <v>98.398</v>
      </c>
      <c r="AK43" s="261">
        <v>92.303</v>
      </c>
      <c r="AL43" s="282">
        <v>99.312</v>
      </c>
      <c r="AM43" s="282">
        <v>97.47</v>
      </c>
      <c r="AN43" s="282">
        <v>117.431</v>
      </c>
      <c r="AO43" s="309">
        <v>139.703</v>
      </c>
    </row>
    <row r="44" spans="2:22" ht="13.5">
      <c r="B44" s="162"/>
      <c r="C44" s="166"/>
      <c r="D44" s="166"/>
      <c r="E44" s="166"/>
      <c r="F44" s="166"/>
      <c r="G44" s="166"/>
      <c r="H44" s="166"/>
      <c r="I44" s="166"/>
      <c r="J44" s="166"/>
      <c r="K44" s="166"/>
      <c r="L44" s="166"/>
      <c r="M44" s="166"/>
      <c r="N44" s="166"/>
      <c r="O44" s="166"/>
      <c r="P44" s="166"/>
      <c r="Q44" s="166"/>
      <c r="R44" s="166"/>
      <c r="S44" s="166"/>
      <c r="T44" s="166"/>
      <c r="U44" s="167"/>
      <c r="V44" s="167"/>
    </row>
    <row r="46" ht="13.5">
      <c r="B46" s="134"/>
    </row>
    <row r="47" spans="2:13" ht="13.5">
      <c r="B47" s="174"/>
      <c r="C47" s="174"/>
      <c r="D47" s="174"/>
      <c r="E47" s="174"/>
      <c r="F47" s="175"/>
      <c r="G47" s="175"/>
      <c r="H47" s="176"/>
      <c r="I47" s="176"/>
      <c r="J47" s="176"/>
      <c r="K47" s="176"/>
      <c r="L47" s="175"/>
      <c r="M47" s="175"/>
    </row>
    <row r="50" spans="2:27" s="168" customFormat="1" ht="13.5">
      <c r="B50" s="133"/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3"/>
      <c r="Q50" s="133"/>
      <c r="R50" s="133"/>
      <c r="S50" s="133"/>
      <c r="T50" s="133"/>
      <c r="U50" s="133"/>
      <c r="V50" s="133"/>
      <c r="W50" s="133"/>
      <c r="X50" s="133"/>
      <c r="Y50" s="133"/>
      <c r="Z50" s="133"/>
      <c r="AA50" s="133"/>
    </row>
    <row r="51" spans="2:27" s="169" customFormat="1" ht="13.5">
      <c r="B51" s="133"/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3"/>
      <c r="Q51" s="133"/>
      <c r="R51" s="133"/>
      <c r="S51" s="133"/>
      <c r="T51" s="133"/>
      <c r="U51" s="133"/>
      <c r="V51" s="133"/>
      <c r="W51" s="133"/>
      <c r="X51" s="133"/>
      <c r="Y51" s="133"/>
      <c r="Z51" s="133"/>
      <c r="AA51" s="133"/>
    </row>
    <row r="52" spans="2:27" s="170" customFormat="1" ht="13.5">
      <c r="B52" s="133"/>
      <c r="C52" s="133"/>
      <c r="D52" s="133"/>
      <c r="E52" s="133"/>
      <c r="F52" s="133"/>
      <c r="G52" s="133"/>
      <c r="H52" s="133"/>
      <c r="I52" s="133"/>
      <c r="J52" s="133"/>
      <c r="K52" s="133"/>
      <c r="L52" s="133"/>
      <c r="M52" s="133"/>
      <c r="N52" s="133"/>
      <c r="O52" s="133"/>
      <c r="P52" s="133"/>
      <c r="Q52" s="133"/>
      <c r="R52" s="133"/>
      <c r="S52" s="133"/>
      <c r="T52" s="133"/>
      <c r="U52" s="133"/>
      <c r="V52" s="133"/>
      <c r="W52" s="133"/>
      <c r="X52" s="133"/>
      <c r="Y52" s="133"/>
      <c r="Z52" s="133"/>
      <c r="AA52" s="133"/>
    </row>
    <row r="53" spans="2:27" s="170" customFormat="1" ht="13.5">
      <c r="B53" s="133"/>
      <c r="C53" s="133"/>
      <c r="D53" s="133"/>
      <c r="E53" s="133"/>
      <c r="F53" s="133"/>
      <c r="G53" s="133"/>
      <c r="H53" s="133"/>
      <c r="I53" s="133"/>
      <c r="J53" s="133"/>
      <c r="K53" s="133"/>
      <c r="L53" s="133"/>
      <c r="M53" s="133"/>
      <c r="N53" s="133"/>
      <c r="O53" s="133"/>
      <c r="P53" s="133"/>
      <c r="Q53" s="133"/>
      <c r="R53" s="133"/>
      <c r="S53" s="133"/>
      <c r="T53" s="133"/>
      <c r="U53" s="133"/>
      <c r="V53" s="133"/>
      <c r="W53" s="133"/>
      <c r="X53" s="133"/>
      <c r="Y53" s="133"/>
      <c r="Z53" s="133"/>
      <c r="AA53" s="133"/>
    </row>
    <row r="54" spans="2:27" s="172" customFormat="1" ht="13.5">
      <c r="B54" s="133"/>
      <c r="C54" s="133"/>
      <c r="D54" s="133"/>
      <c r="E54" s="133"/>
      <c r="F54" s="133"/>
      <c r="G54" s="133"/>
      <c r="H54" s="133"/>
      <c r="I54" s="133"/>
      <c r="J54" s="133"/>
      <c r="K54" s="133"/>
      <c r="L54" s="133"/>
      <c r="M54" s="133"/>
      <c r="N54" s="133"/>
      <c r="O54" s="133"/>
      <c r="P54" s="133"/>
      <c r="Q54" s="133"/>
      <c r="R54" s="133"/>
      <c r="S54" s="133"/>
      <c r="T54" s="133"/>
      <c r="U54" s="133"/>
      <c r="V54" s="133"/>
      <c r="W54" s="133"/>
      <c r="X54" s="133"/>
      <c r="Y54" s="133"/>
      <c r="Z54" s="133"/>
      <c r="AA54" s="133"/>
    </row>
    <row r="55" spans="2:27" s="173" customFormat="1" ht="13.5">
      <c r="B55" s="133"/>
      <c r="C55" s="133"/>
      <c r="D55" s="133"/>
      <c r="E55" s="133"/>
      <c r="F55" s="133"/>
      <c r="G55" s="133"/>
      <c r="H55" s="133"/>
      <c r="I55" s="133"/>
      <c r="J55" s="133"/>
      <c r="K55" s="133"/>
      <c r="L55" s="133"/>
      <c r="M55" s="133"/>
      <c r="N55" s="133"/>
      <c r="O55" s="133"/>
      <c r="P55" s="133"/>
      <c r="Q55" s="133"/>
      <c r="R55" s="133"/>
      <c r="S55" s="133"/>
      <c r="T55" s="133"/>
      <c r="U55" s="133"/>
      <c r="V55" s="133"/>
      <c r="W55" s="133"/>
      <c r="X55" s="133"/>
      <c r="Y55" s="133"/>
      <c r="Z55" s="133"/>
      <c r="AA55" s="133"/>
    </row>
    <row r="59" ht="15" customHeight="1"/>
    <row r="62" spans="2:4" ht="27.75" customHeight="1">
      <c r="B62" s="175"/>
      <c r="C62" s="175"/>
      <c r="D62" s="175"/>
    </row>
    <row r="63" spans="2:4" ht="13.5">
      <c r="B63" s="175"/>
      <c r="C63" s="175"/>
      <c r="D63" s="175"/>
    </row>
    <row r="64" spans="2:4" ht="20.25" customHeight="1">
      <c r="B64" s="175"/>
      <c r="C64" s="175"/>
      <c r="D64" s="175"/>
    </row>
    <row r="65" spans="2:4" ht="13.5">
      <c r="B65" s="175"/>
      <c r="C65" s="175"/>
      <c r="D65" s="175"/>
    </row>
    <row r="66" spans="2:4" ht="13.5">
      <c r="B66" s="175"/>
      <c r="C66" s="175"/>
      <c r="D66" s="175"/>
    </row>
    <row r="67" spans="2:4" ht="13.5">
      <c r="B67" s="175"/>
      <c r="C67" s="175"/>
      <c r="D67" s="175"/>
    </row>
    <row r="69" ht="15" customHeight="1"/>
    <row r="74" ht="21" customHeight="1"/>
    <row r="78" ht="13.5">
      <c r="Q78" s="175"/>
    </row>
    <row r="79" ht="15" customHeight="1"/>
    <row r="82" ht="27" customHeight="1"/>
    <row r="84" ht="27" customHeight="1"/>
  </sheetData>
  <sheetProtection/>
  <printOptions/>
  <pageMargins left="0.7" right="0.7" top="0.75" bottom="0.75" header="0.3" footer="0.3"/>
  <pageSetup horizontalDpi="600" verticalDpi="600" orientation="portrait" scale="15" r:id="rId1"/>
  <headerFooter>
    <oddHeader>&amp;C 
</oddHeader>
    <oddFooter>&amp;C 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AP59"/>
  <sheetViews>
    <sheetView tabSelected="1" zoomScale="105" zoomScaleNormal="105" zoomScalePageLayoutView="0" workbookViewId="0" topLeftCell="AE4">
      <selection activeCell="AQ42" sqref="AQ42"/>
    </sheetView>
  </sheetViews>
  <sheetFormatPr defaultColWidth="9.33203125" defaultRowHeight="12.75"/>
  <cols>
    <col min="1" max="1" width="4.83203125" style="130" customWidth="1"/>
    <col min="2" max="2" width="67.33203125" style="130" customWidth="1"/>
    <col min="3" max="3" width="32" style="130" customWidth="1"/>
    <col min="4" max="4" width="9.33203125" style="130" bestFit="1" customWidth="1"/>
    <col min="5" max="5" width="9.66015625" style="130" hidden="1" customWidth="1"/>
    <col min="6" max="6" width="9.5" style="130" hidden="1" customWidth="1"/>
    <col min="7" max="8" width="9.16015625" style="130" hidden="1" customWidth="1"/>
    <col min="9" max="9" width="9.66015625" style="130" hidden="1" customWidth="1"/>
    <col min="10" max="10" width="9.5" style="130" hidden="1" customWidth="1"/>
    <col min="11" max="12" width="9.16015625" style="130" hidden="1" customWidth="1"/>
    <col min="13" max="13" width="9.83203125" style="130" hidden="1" customWidth="1"/>
    <col min="14" max="14" width="8.66015625" style="130" hidden="1" customWidth="1"/>
    <col min="15" max="15" width="8.83203125" style="130" hidden="1" customWidth="1"/>
    <col min="16" max="16" width="8.66015625" style="130" hidden="1" customWidth="1"/>
    <col min="17" max="17" width="9.16015625" style="130" hidden="1" customWidth="1"/>
    <col min="18" max="18" width="8.5" style="130" hidden="1" customWidth="1"/>
    <col min="19" max="19" width="10" style="130" hidden="1" customWidth="1"/>
    <col min="20" max="20" width="9.83203125" style="130" hidden="1" customWidth="1"/>
    <col min="21" max="21" width="8.66015625" style="130" hidden="1" customWidth="1"/>
    <col min="22" max="22" width="9" style="130" hidden="1" customWidth="1"/>
    <col min="23" max="23" width="10.33203125" style="130" hidden="1" customWidth="1"/>
    <col min="24" max="24" width="10" style="130" hidden="1" customWidth="1"/>
    <col min="25" max="25" width="12.5" style="130" hidden="1" customWidth="1"/>
    <col min="26" max="26" width="10.5" style="130" hidden="1" customWidth="1"/>
    <col min="27" max="27" width="10.83203125" style="130" hidden="1" customWidth="1"/>
    <col min="28" max="28" width="11.33203125" style="130" customWidth="1"/>
    <col min="29" max="29" width="9.83203125" style="130" customWidth="1"/>
    <col min="30" max="30" width="16.66015625" style="130" customWidth="1"/>
    <col min="31" max="31" width="19.83203125" style="130" customWidth="1"/>
    <col min="32" max="32" width="16.66015625" style="130" customWidth="1"/>
    <col min="33" max="37" width="16" style="130" customWidth="1"/>
    <col min="38" max="38" width="22.66015625" style="130" customWidth="1"/>
    <col min="39" max="39" width="22.33203125" style="130" customWidth="1"/>
    <col min="40" max="16384" width="9.33203125" style="130" customWidth="1"/>
  </cols>
  <sheetData>
    <row r="2" spans="2:6" ht="12.75">
      <c r="B2" s="128"/>
      <c r="C2" s="129"/>
      <c r="D2" s="129"/>
      <c r="E2" s="129"/>
      <c r="F2" s="129"/>
    </row>
    <row r="3" spans="2:6" ht="12.75">
      <c r="B3" s="128"/>
      <c r="C3" s="129"/>
      <c r="D3" s="129"/>
      <c r="E3" s="129"/>
      <c r="F3" s="129"/>
    </row>
    <row r="4" spans="2:6" ht="12.75">
      <c r="B4" s="128"/>
      <c r="C4" s="129"/>
      <c r="D4" s="129"/>
      <c r="E4" s="129"/>
      <c r="F4" s="129"/>
    </row>
    <row r="5" spans="2:6" ht="12.75">
      <c r="B5" s="128"/>
      <c r="C5" s="129"/>
      <c r="D5" s="129"/>
      <c r="E5" s="129"/>
      <c r="F5" s="129"/>
    </row>
    <row r="6" spans="2:6" ht="12.75">
      <c r="B6" s="128"/>
      <c r="C6" s="129"/>
      <c r="D6" s="129"/>
      <c r="E6" s="129"/>
      <c r="F6" s="129"/>
    </row>
    <row r="7" spans="2:6" ht="12.75">
      <c r="B7" s="128"/>
      <c r="C7" s="129"/>
      <c r="D7" s="129"/>
      <c r="E7" s="129"/>
      <c r="F7" s="129"/>
    </row>
    <row r="8" spans="2:10" ht="12.75">
      <c r="B8" s="127" t="s">
        <v>84</v>
      </c>
      <c r="C8" s="126"/>
      <c r="D8" s="126"/>
      <c r="E8" s="129"/>
      <c r="F8" s="129"/>
      <c r="G8" s="179"/>
      <c r="H8" s="129"/>
      <c r="I8" s="129"/>
      <c r="J8" s="129"/>
    </row>
    <row r="9" spans="2:5" ht="12">
      <c r="B9" s="128" t="s">
        <v>76</v>
      </c>
      <c r="C9" s="129"/>
      <c r="D9" s="129"/>
      <c r="E9" s="129"/>
    </row>
    <row r="10" spans="2:5" ht="12">
      <c r="B10" s="129"/>
      <c r="C10" s="129"/>
      <c r="D10" s="129"/>
      <c r="E10" s="129"/>
    </row>
    <row r="11" ht="12">
      <c r="B11" s="131" t="s">
        <v>85</v>
      </c>
    </row>
    <row r="12" ht="15" thickBot="1">
      <c r="B12" s="256" t="s">
        <v>89</v>
      </c>
    </row>
    <row r="13" spans="2:39" ht="26.25" customHeight="1">
      <c r="B13" s="334" t="s">
        <v>86</v>
      </c>
      <c r="C13" s="207" t="s">
        <v>73</v>
      </c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/>
      <c r="R13" s="208"/>
      <c r="S13" s="208"/>
      <c r="T13" s="233"/>
      <c r="U13" s="233"/>
      <c r="V13" s="233"/>
      <c r="W13" s="233"/>
      <c r="X13" s="233"/>
      <c r="Y13" s="233"/>
      <c r="Z13" s="233"/>
      <c r="AA13" s="233"/>
      <c r="AB13" s="233"/>
      <c r="AC13" s="337"/>
      <c r="AD13" s="337"/>
      <c r="AE13" s="280"/>
      <c r="AF13" s="280"/>
      <c r="AG13" s="277"/>
      <c r="AH13" s="277"/>
      <c r="AI13" s="277"/>
      <c r="AJ13" s="277"/>
      <c r="AK13" s="277"/>
      <c r="AL13" s="278"/>
      <c r="AM13" s="289"/>
    </row>
    <row r="14" spans="2:39" ht="17.25" customHeight="1">
      <c r="B14" s="336"/>
      <c r="C14" s="229">
        <v>41883</v>
      </c>
      <c r="D14" s="180">
        <v>41974</v>
      </c>
      <c r="E14" s="180">
        <v>42064</v>
      </c>
      <c r="F14" s="180">
        <v>42156</v>
      </c>
      <c r="G14" s="180">
        <v>42248</v>
      </c>
      <c r="H14" s="180">
        <v>42339</v>
      </c>
      <c r="I14" s="180">
        <v>42430</v>
      </c>
      <c r="J14" s="180">
        <v>42522</v>
      </c>
      <c r="K14" s="180">
        <v>42614</v>
      </c>
      <c r="L14" s="180">
        <v>42705</v>
      </c>
      <c r="M14" s="180">
        <v>42795</v>
      </c>
      <c r="N14" s="180">
        <v>42887</v>
      </c>
      <c r="O14" s="180">
        <v>42979</v>
      </c>
      <c r="P14" s="180">
        <v>43070</v>
      </c>
      <c r="Q14" s="180">
        <v>43190</v>
      </c>
      <c r="R14" s="180">
        <v>43281</v>
      </c>
      <c r="S14" s="180">
        <v>43373</v>
      </c>
      <c r="T14" s="180">
        <v>43465</v>
      </c>
      <c r="U14" s="180">
        <v>43555</v>
      </c>
      <c r="V14" s="180">
        <v>43644</v>
      </c>
      <c r="W14" s="216">
        <v>43727</v>
      </c>
      <c r="X14" s="180">
        <v>43818</v>
      </c>
      <c r="Y14" s="180">
        <v>43909</v>
      </c>
      <c r="Z14" s="180">
        <v>44001</v>
      </c>
      <c r="AA14" s="180">
        <v>44093</v>
      </c>
      <c r="AB14" s="180">
        <v>44184</v>
      </c>
      <c r="AC14" s="180">
        <v>44274</v>
      </c>
      <c r="AD14" s="180">
        <v>44377</v>
      </c>
      <c r="AE14" s="180">
        <v>44469</v>
      </c>
      <c r="AF14" s="180">
        <v>44561</v>
      </c>
      <c r="AG14" s="180">
        <v>44651</v>
      </c>
      <c r="AH14" s="180">
        <v>44742</v>
      </c>
      <c r="AI14" s="312">
        <v>44834</v>
      </c>
      <c r="AJ14" s="180">
        <v>44926</v>
      </c>
      <c r="AK14" s="180">
        <v>45016</v>
      </c>
      <c r="AL14" s="216">
        <v>45107</v>
      </c>
      <c r="AM14" s="328"/>
    </row>
    <row r="15" spans="2:42" ht="19.5" customHeight="1">
      <c r="B15" s="181" t="s">
        <v>9</v>
      </c>
      <c r="C15" s="182">
        <v>5.51</v>
      </c>
      <c r="D15" s="182">
        <v>6.31</v>
      </c>
      <c r="E15" s="182">
        <v>6.4</v>
      </c>
      <c r="F15" s="182">
        <v>7.09</v>
      </c>
      <c r="G15" s="182">
        <v>8.687889336333335</v>
      </c>
      <c r="H15" s="182">
        <v>10.1</v>
      </c>
      <c r="I15" s="182">
        <v>9.991995131</v>
      </c>
      <c r="J15" s="182">
        <v>10.50458639175</v>
      </c>
      <c r="K15" s="182">
        <v>10.81608012</v>
      </c>
      <c r="L15" s="182">
        <v>11</v>
      </c>
      <c r="M15" s="182">
        <v>10.299764529</v>
      </c>
      <c r="N15" s="182">
        <v>10.668099819</v>
      </c>
      <c r="O15" s="182">
        <v>11.194142967</v>
      </c>
      <c r="P15" s="182">
        <v>11.894940143</v>
      </c>
      <c r="Q15" s="182">
        <v>11.735211439</v>
      </c>
      <c r="R15" s="182">
        <v>12.498342303477394</v>
      </c>
      <c r="S15" s="182">
        <v>13.198508061</v>
      </c>
      <c r="T15" s="182">
        <v>14.177634545</v>
      </c>
      <c r="U15" s="182">
        <v>14.6</v>
      </c>
      <c r="V15" s="182">
        <v>16.6</v>
      </c>
      <c r="W15" s="217">
        <v>14.7</v>
      </c>
      <c r="X15" s="217">
        <v>15.5</v>
      </c>
      <c r="Y15" s="182">
        <v>15.4</v>
      </c>
      <c r="Z15" s="182">
        <v>14.9</v>
      </c>
      <c r="AA15" s="212">
        <v>15.83645570119</v>
      </c>
      <c r="AB15" s="212">
        <v>16.68831512048</v>
      </c>
      <c r="AC15" s="212">
        <v>16.429899882</v>
      </c>
      <c r="AD15" s="212">
        <f>17064780252/1000000000</f>
        <v>17.064780252</v>
      </c>
      <c r="AE15" s="253">
        <v>17.5</v>
      </c>
      <c r="AF15" s="268">
        <v>18.785638735</v>
      </c>
      <c r="AG15" s="268">
        <v>18.772965178706166</v>
      </c>
      <c r="AH15" s="268">
        <v>20.293100382</v>
      </c>
      <c r="AI15" s="313">
        <v>24.17116758</v>
      </c>
      <c r="AJ15" s="296">
        <v>24.528159851</v>
      </c>
      <c r="AK15" s="296">
        <v>24.946474323</v>
      </c>
      <c r="AL15" s="324">
        <v>27.376757171</v>
      </c>
      <c r="AM15" s="329"/>
      <c r="AP15" s="294"/>
    </row>
    <row r="16" spans="2:39" ht="22.5" customHeight="1">
      <c r="B16" s="183" t="s">
        <v>10</v>
      </c>
      <c r="C16" s="184">
        <v>3.22</v>
      </c>
      <c r="D16" s="184">
        <v>3.42</v>
      </c>
      <c r="E16" s="184">
        <v>3.2</v>
      </c>
      <c r="F16" s="184">
        <v>3.49</v>
      </c>
      <c r="G16" s="184">
        <v>3.6821628617799997</v>
      </c>
      <c r="H16" s="184">
        <v>3.8</v>
      </c>
      <c r="I16" s="184">
        <v>3.509999678</v>
      </c>
      <c r="J16" s="184">
        <v>3.754389771</v>
      </c>
      <c r="K16" s="184">
        <v>3.65506521</v>
      </c>
      <c r="L16" s="184">
        <v>3.822103885</v>
      </c>
      <c r="M16" s="184">
        <v>3.791412855</v>
      </c>
      <c r="N16" s="184">
        <v>4.083258878</v>
      </c>
      <c r="O16" s="184">
        <v>4.253330848</v>
      </c>
      <c r="P16" s="184">
        <v>4.424386286</v>
      </c>
      <c r="Q16" s="184">
        <v>4.307100755</v>
      </c>
      <c r="R16" s="184">
        <v>4.626341500932491</v>
      </c>
      <c r="S16" s="184">
        <v>4.895393487</v>
      </c>
      <c r="T16" s="184">
        <v>5.268346951</v>
      </c>
      <c r="U16" s="184">
        <v>4.7</v>
      </c>
      <c r="V16" s="184">
        <v>4.5</v>
      </c>
      <c r="W16" s="218">
        <v>4.8</v>
      </c>
      <c r="X16" s="218">
        <v>5.7</v>
      </c>
      <c r="Y16" s="184">
        <v>5.2</v>
      </c>
      <c r="Z16" s="184">
        <v>5</v>
      </c>
      <c r="AA16" s="211">
        <v>5.556163707368</v>
      </c>
      <c r="AB16" s="211">
        <v>6.249004757288</v>
      </c>
      <c r="AC16" s="211">
        <v>6.38212669</v>
      </c>
      <c r="AD16" s="211">
        <f>6851655060/1000000000</f>
        <v>6.85165506</v>
      </c>
      <c r="AE16" s="251">
        <v>8</v>
      </c>
      <c r="AF16" s="269">
        <v>8.771558848</v>
      </c>
      <c r="AG16" s="269">
        <v>9.008293348485962</v>
      </c>
      <c r="AH16" s="269">
        <v>9.899385933</v>
      </c>
      <c r="AI16" s="314">
        <v>9.25018897</v>
      </c>
      <c r="AJ16" s="297">
        <v>12.039822527</v>
      </c>
      <c r="AK16" s="297">
        <v>12.186145008</v>
      </c>
      <c r="AL16" s="325">
        <v>13.468047652</v>
      </c>
      <c r="AM16" s="329"/>
    </row>
    <row r="17" spans="2:39" ht="21" customHeight="1">
      <c r="B17" s="181" t="s">
        <v>11</v>
      </c>
      <c r="C17" s="182">
        <v>13.55</v>
      </c>
      <c r="D17" s="182">
        <v>13.6</v>
      </c>
      <c r="E17" s="182">
        <v>12.9</v>
      </c>
      <c r="F17" s="182">
        <v>13.97</v>
      </c>
      <c r="G17" s="182">
        <v>14.789434453</v>
      </c>
      <c r="H17" s="182">
        <v>15.1</v>
      </c>
      <c r="I17" s="182">
        <v>14.174459281</v>
      </c>
      <c r="J17" s="182">
        <v>15.328992203</v>
      </c>
      <c r="K17" s="182">
        <v>15.81632814</v>
      </c>
      <c r="L17" s="182">
        <v>16.435176834</v>
      </c>
      <c r="M17" s="182">
        <v>15.994997533</v>
      </c>
      <c r="N17" s="182">
        <v>17.355597705</v>
      </c>
      <c r="O17" s="182">
        <v>18.182480315</v>
      </c>
      <c r="P17" s="182">
        <v>18.811073708</v>
      </c>
      <c r="Q17" s="182">
        <v>18.588046074</v>
      </c>
      <c r="R17" s="182">
        <v>20.218639930904846</v>
      </c>
      <c r="S17" s="182">
        <v>20.489003198</v>
      </c>
      <c r="T17" s="182">
        <v>21.727945092</v>
      </c>
      <c r="U17" s="182">
        <v>21.1</v>
      </c>
      <c r="V17" s="182">
        <v>19.8</v>
      </c>
      <c r="W17" s="217">
        <v>22.2</v>
      </c>
      <c r="X17" s="217">
        <v>22.8</v>
      </c>
      <c r="Y17" s="182">
        <v>22.4</v>
      </c>
      <c r="Z17" s="182">
        <v>21.9</v>
      </c>
      <c r="AA17" s="212">
        <v>22.786460178812</v>
      </c>
      <c r="AB17" s="212">
        <v>23.745154056712</v>
      </c>
      <c r="AC17" s="212">
        <v>24.345030378</v>
      </c>
      <c r="AD17" s="212">
        <f>26664824561/1000000000</f>
        <v>26.664824561</v>
      </c>
      <c r="AE17" s="254">
        <v>27.9</v>
      </c>
      <c r="AF17" s="268">
        <v>30.204708889</v>
      </c>
      <c r="AG17" s="268">
        <v>31.29058598277974</v>
      </c>
      <c r="AH17" s="268">
        <v>33.643640039</v>
      </c>
      <c r="AI17" s="315">
        <v>31.909703064</v>
      </c>
      <c r="AJ17" s="297">
        <v>43.226770009</v>
      </c>
      <c r="AK17" s="297">
        <v>45.927215085</v>
      </c>
      <c r="AL17" s="325">
        <v>48.588147652</v>
      </c>
      <c r="AM17" s="329"/>
    </row>
    <row r="18" spans="2:39" ht="21" customHeight="1">
      <c r="B18" s="183" t="s">
        <v>12</v>
      </c>
      <c r="C18" s="184">
        <v>1.49</v>
      </c>
      <c r="D18" s="184">
        <v>1.57</v>
      </c>
      <c r="E18" s="184">
        <v>1.6</v>
      </c>
      <c r="F18" s="184">
        <v>1.64</v>
      </c>
      <c r="G18" s="184">
        <v>1.7386779263333334</v>
      </c>
      <c r="H18" s="184">
        <v>1.8</v>
      </c>
      <c r="I18" s="184">
        <v>1.650575771</v>
      </c>
      <c r="J18" s="184">
        <v>1.764193274</v>
      </c>
      <c r="K18" s="184">
        <v>1.742558762</v>
      </c>
      <c r="L18" s="184">
        <v>1.781984703</v>
      </c>
      <c r="M18" s="184">
        <v>1.700382106</v>
      </c>
      <c r="N18" s="184">
        <v>1.828538633</v>
      </c>
      <c r="O18" s="184">
        <v>1.862650544</v>
      </c>
      <c r="P18" s="184">
        <v>2.002402817</v>
      </c>
      <c r="Q18" s="184">
        <v>2.02980646</v>
      </c>
      <c r="R18" s="184">
        <v>2.3334389843925343</v>
      </c>
      <c r="S18" s="184">
        <v>2.34945535</v>
      </c>
      <c r="T18" s="184">
        <v>2.413387168</v>
      </c>
      <c r="U18" s="184">
        <v>2.2</v>
      </c>
      <c r="V18" s="184">
        <v>2.2</v>
      </c>
      <c r="W18" s="218">
        <v>2.4</v>
      </c>
      <c r="X18" s="218">
        <v>2.8</v>
      </c>
      <c r="Y18" s="184">
        <v>2.7</v>
      </c>
      <c r="Z18" s="184">
        <v>2.8</v>
      </c>
      <c r="AA18" s="211">
        <v>3.0113048001</v>
      </c>
      <c r="AB18" s="211">
        <v>3.1286512813</v>
      </c>
      <c r="AC18" s="211">
        <v>3.13136674</v>
      </c>
      <c r="AD18" s="211">
        <f>3238830334/1000000000</f>
        <v>3.238830334</v>
      </c>
      <c r="AE18" s="251">
        <v>3.1</v>
      </c>
      <c r="AF18" s="269">
        <v>3.342155554</v>
      </c>
      <c r="AG18" s="269">
        <v>3.423864009263482</v>
      </c>
      <c r="AH18" s="269">
        <v>3.861132153</v>
      </c>
      <c r="AI18" s="314">
        <v>3.91162505</v>
      </c>
      <c r="AJ18" s="297">
        <v>4.950395746</v>
      </c>
      <c r="AK18" s="297">
        <v>4.595690978</v>
      </c>
      <c r="AL18" s="325">
        <v>6.336868279</v>
      </c>
      <c r="AM18" s="329"/>
    </row>
    <row r="19" spans="2:39" ht="21.75" customHeight="1" thickBot="1">
      <c r="B19" s="181" t="s">
        <v>13</v>
      </c>
      <c r="C19" s="185">
        <v>2.76</v>
      </c>
      <c r="D19" s="185">
        <v>2.78</v>
      </c>
      <c r="E19" s="185">
        <v>2.6</v>
      </c>
      <c r="F19" s="185">
        <v>2.73</v>
      </c>
      <c r="G19" s="185">
        <v>2.9190713696666664</v>
      </c>
      <c r="H19" s="185">
        <v>3.2</v>
      </c>
      <c r="I19" s="185">
        <v>2.9</v>
      </c>
      <c r="J19" s="185">
        <v>3</v>
      </c>
      <c r="K19" s="185">
        <v>3.358677976</v>
      </c>
      <c r="L19" s="185">
        <v>3.710041533</v>
      </c>
      <c r="M19" s="185">
        <v>3.6628649719</v>
      </c>
      <c r="N19" s="185">
        <v>3.719065654</v>
      </c>
      <c r="O19" s="185">
        <v>3.7888380424</v>
      </c>
      <c r="P19" s="185">
        <v>3.8707760409</v>
      </c>
      <c r="Q19" s="185">
        <v>3.6528102</v>
      </c>
      <c r="R19" s="185">
        <v>3.861917805292735</v>
      </c>
      <c r="S19" s="185">
        <v>4.087236802</v>
      </c>
      <c r="T19" s="185">
        <v>4.28654367</v>
      </c>
      <c r="U19" s="185">
        <v>3.9</v>
      </c>
      <c r="V19" s="185">
        <v>4.2</v>
      </c>
      <c r="W19" s="219">
        <v>4.5</v>
      </c>
      <c r="X19" s="219">
        <v>5.2</v>
      </c>
      <c r="Y19" s="185">
        <v>4.7</v>
      </c>
      <c r="Z19" s="185">
        <v>4.3</v>
      </c>
      <c r="AA19" s="213">
        <v>4.99417178487</v>
      </c>
      <c r="AB19" s="213">
        <v>5.11595537622</v>
      </c>
      <c r="AC19" s="213">
        <v>5.03715724135</v>
      </c>
      <c r="AD19" s="213">
        <f>5381677456/1000000000</f>
        <v>5.381677456</v>
      </c>
      <c r="AE19" s="255">
        <v>5.9</v>
      </c>
      <c r="AF19" s="270">
        <v>6.237771397</v>
      </c>
      <c r="AG19" s="270">
        <v>6.505567582764648</v>
      </c>
      <c r="AH19" s="270">
        <v>6.925404932</v>
      </c>
      <c r="AI19" s="316">
        <v>12.2572334643333</v>
      </c>
      <c r="AJ19" s="299">
        <v>7.940688692</v>
      </c>
      <c r="AK19" s="299">
        <v>7.993312198</v>
      </c>
      <c r="AL19" s="326">
        <v>8.649202151</v>
      </c>
      <c r="AM19" s="329"/>
    </row>
    <row r="20" spans="2:39" ht="18" customHeight="1" thickBot="1">
      <c r="B20" s="186" t="s">
        <v>8</v>
      </c>
      <c r="C20" s="187">
        <v>26.6</v>
      </c>
      <c r="D20" s="187">
        <v>27.7</v>
      </c>
      <c r="E20" s="187">
        <v>26.7</v>
      </c>
      <c r="F20" s="187">
        <v>28.9</v>
      </c>
      <c r="G20" s="187">
        <v>31.817235947113335</v>
      </c>
      <c r="H20" s="187">
        <v>34</v>
      </c>
      <c r="I20" s="187">
        <v>32.317230335</v>
      </c>
      <c r="J20" s="187">
        <v>34.44700274475</v>
      </c>
      <c r="K20" s="187">
        <v>35.388710208</v>
      </c>
      <c r="L20" s="187">
        <v>36.680694492</v>
      </c>
      <c r="M20" s="187">
        <v>35.4494219949</v>
      </c>
      <c r="N20" s="187">
        <v>37.654560689</v>
      </c>
      <c r="O20" s="187">
        <v>39.2814427164</v>
      </c>
      <c r="P20" s="187">
        <v>41.0035789949</v>
      </c>
      <c r="Q20" s="187">
        <v>40.312974928</v>
      </c>
      <c r="R20" s="187">
        <v>43.538680525</v>
      </c>
      <c r="S20" s="187">
        <v>45.019596898</v>
      </c>
      <c r="T20" s="187">
        <v>47.873857426</v>
      </c>
      <c r="U20" s="187">
        <v>46.5</v>
      </c>
      <c r="V20" s="187">
        <v>47.3</v>
      </c>
      <c r="W20" s="200">
        <f>SUM(W15:W19)</f>
        <v>48.6</v>
      </c>
      <c r="X20" s="200">
        <f>SUM(X15:X19)</f>
        <v>52</v>
      </c>
      <c r="Y20" s="187">
        <f>SUM(Y15:Y19)</f>
        <v>50.400000000000006</v>
      </c>
      <c r="Z20" s="187">
        <f>SUM(Z15:Z19)</f>
        <v>48.89999999999999</v>
      </c>
      <c r="AA20" s="187">
        <v>52.184556172339995</v>
      </c>
      <c r="AB20" s="187">
        <v>54.927080592</v>
      </c>
      <c r="AC20" s="232">
        <f>SUM(AC15:AC19)</f>
        <v>55.32558093135</v>
      </c>
      <c r="AD20" s="187"/>
      <c r="AE20" s="252">
        <f>SUM(AE15:AE19)</f>
        <v>62.4</v>
      </c>
      <c r="AF20" s="271">
        <v>67.341833423</v>
      </c>
      <c r="AG20" s="271">
        <v>69.001276102</v>
      </c>
      <c r="AH20" s="271">
        <v>74.622663439</v>
      </c>
      <c r="AI20" s="317">
        <f>SUM(AI15:AI19)</f>
        <v>81.49991812833329</v>
      </c>
      <c r="AJ20" s="300">
        <f>SUM(AJ15:AJ19)</f>
        <v>92.685836825</v>
      </c>
      <c r="AK20" s="300">
        <v>95.64883759199999</v>
      </c>
      <c r="AL20" s="327">
        <v>104.419023229</v>
      </c>
      <c r="AM20" s="330"/>
    </row>
    <row r="21" spans="2:28" ht="18" customHeight="1">
      <c r="B21" s="209"/>
      <c r="C21" s="210"/>
      <c r="D21" s="210"/>
      <c r="E21" s="210"/>
      <c r="F21" s="210"/>
      <c r="G21" s="210"/>
      <c r="H21" s="210"/>
      <c r="I21" s="210"/>
      <c r="J21" s="210"/>
      <c r="K21" s="210"/>
      <c r="L21" s="210"/>
      <c r="M21" s="210"/>
      <c r="N21" s="210"/>
      <c r="O21" s="210"/>
      <c r="P21" s="210"/>
      <c r="Q21" s="210"/>
      <c r="R21" s="210"/>
      <c r="S21" s="210"/>
      <c r="T21" s="210"/>
      <c r="U21" s="210"/>
      <c r="V21" s="210"/>
      <c r="W21" s="210"/>
      <c r="X21" s="210"/>
      <c r="Y21" s="210"/>
      <c r="Z21" s="210"/>
      <c r="AA21" s="210"/>
      <c r="AB21" s="210"/>
    </row>
    <row r="22" spans="2:23" ht="12">
      <c r="B22" s="209"/>
      <c r="C22" s="210"/>
      <c r="D22" s="210"/>
      <c r="E22" s="210"/>
      <c r="F22" s="210"/>
      <c r="G22" s="210"/>
      <c r="H22" s="210"/>
      <c r="I22" s="210"/>
      <c r="J22" s="210"/>
      <c r="K22" s="210"/>
      <c r="L22" s="210"/>
      <c r="M22" s="210"/>
      <c r="N22" s="210"/>
      <c r="O22" s="210"/>
      <c r="P22" s="210"/>
      <c r="Q22" s="210"/>
      <c r="R22" s="210"/>
      <c r="S22" s="210"/>
      <c r="T22" s="210"/>
      <c r="U22" s="210"/>
      <c r="V22" s="210"/>
      <c r="W22" s="210"/>
    </row>
    <row r="23" spans="2:23" ht="12">
      <c r="B23" s="209"/>
      <c r="C23" s="210"/>
      <c r="D23" s="210"/>
      <c r="E23" s="210"/>
      <c r="F23" s="210"/>
      <c r="G23" s="210"/>
      <c r="H23" s="210"/>
      <c r="I23" s="210"/>
      <c r="J23" s="210"/>
      <c r="K23" s="210"/>
      <c r="L23" s="210"/>
      <c r="M23" s="210"/>
      <c r="N23" s="210"/>
      <c r="O23" s="210"/>
      <c r="P23" s="210"/>
      <c r="Q23" s="210"/>
      <c r="R23" s="210"/>
      <c r="S23" s="210"/>
      <c r="T23" s="210"/>
      <c r="U23" s="210"/>
      <c r="V23" s="210"/>
      <c r="W23" s="210"/>
    </row>
    <row r="24" ht="12">
      <c r="B24" s="129" t="s">
        <v>88</v>
      </c>
    </row>
    <row r="25" spans="4:21" ht="3.75" customHeight="1" thickBot="1">
      <c r="D25" s="188"/>
      <c r="E25" s="188"/>
      <c r="U25" s="188"/>
    </row>
    <row r="26" spans="2:39" ht="27" customHeight="1">
      <c r="B26" s="334" t="s">
        <v>86</v>
      </c>
      <c r="C26" s="206" t="s">
        <v>74</v>
      </c>
      <c r="D26" s="196"/>
      <c r="E26" s="196"/>
      <c r="F26" s="196"/>
      <c r="G26" s="196"/>
      <c r="H26" s="196"/>
      <c r="I26" s="196"/>
      <c r="J26" s="196"/>
      <c r="K26" s="196"/>
      <c r="L26" s="196"/>
      <c r="M26" s="196"/>
      <c r="N26" s="196"/>
      <c r="O26" s="196"/>
      <c r="P26" s="196"/>
      <c r="Q26" s="196"/>
      <c r="R26" s="196"/>
      <c r="S26" s="196"/>
      <c r="T26" s="196"/>
      <c r="U26" s="196"/>
      <c r="V26" s="332"/>
      <c r="W26" s="332"/>
      <c r="X26" s="332"/>
      <c r="Y26" s="332"/>
      <c r="Z26" s="332"/>
      <c r="AA26" s="332"/>
      <c r="AB26" s="332"/>
      <c r="AC26" s="333"/>
      <c r="AD26" s="279"/>
      <c r="AE26" s="277"/>
      <c r="AF26" s="280"/>
      <c r="AG26" s="277"/>
      <c r="AH26" s="277"/>
      <c r="AI26" s="277"/>
      <c r="AJ26" s="277"/>
      <c r="AK26" s="277"/>
      <c r="AL26" s="278"/>
      <c r="AM26" s="295"/>
    </row>
    <row r="27" spans="2:39" ht="20.25" customHeight="1">
      <c r="B27" s="335"/>
      <c r="C27" s="230">
        <v>41883</v>
      </c>
      <c r="D27" s="189">
        <v>41974</v>
      </c>
      <c r="E27" s="189">
        <v>42064</v>
      </c>
      <c r="F27" s="189">
        <v>42156</v>
      </c>
      <c r="G27" s="189">
        <v>42248</v>
      </c>
      <c r="H27" s="189">
        <v>42339</v>
      </c>
      <c r="I27" s="189">
        <v>42430</v>
      </c>
      <c r="J27" s="189">
        <v>42522</v>
      </c>
      <c r="K27" s="189">
        <v>42614</v>
      </c>
      <c r="L27" s="189">
        <v>42705</v>
      </c>
      <c r="M27" s="189">
        <v>42795</v>
      </c>
      <c r="N27" s="189">
        <v>42887</v>
      </c>
      <c r="O27" s="190">
        <v>42979</v>
      </c>
      <c r="P27" s="180">
        <v>43070</v>
      </c>
      <c r="Q27" s="180">
        <v>43160</v>
      </c>
      <c r="R27" s="180">
        <v>43281</v>
      </c>
      <c r="S27" s="180">
        <v>43373</v>
      </c>
      <c r="T27" s="180">
        <v>43465</v>
      </c>
      <c r="U27" s="180">
        <v>43555</v>
      </c>
      <c r="V27" s="180">
        <v>43646</v>
      </c>
      <c r="W27" s="180">
        <v>44093</v>
      </c>
      <c r="X27" s="180">
        <v>43818</v>
      </c>
      <c r="Y27" s="180">
        <v>43909</v>
      </c>
      <c r="Z27" s="180">
        <v>44001</v>
      </c>
      <c r="AA27" s="180">
        <v>44093</v>
      </c>
      <c r="AB27" s="180">
        <v>44184</v>
      </c>
      <c r="AC27" s="180">
        <v>44274</v>
      </c>
      <c r="AD27" s="180">
        <v>44377</v>
      </c>
      <c r="AE27" s="180">
        <v>44469</v>
      </c>
      <c r="AF27" s="180">
        <v>44561</v>
      </c>
      <c r="AG27" s="180">
        <v>44651</v>
      </c>
      <c r="AH27" s="180">
        <v>44742</v>
      </c>
      <c r="AI27" s="180">
        <v>44834</v>
      </c>
      <c r="AJ27" s="180">
        <v>44926</v>
      </c>
      <c r="AK27" s="180">
        <v>45016</v>
      </c>
      <c r="AL27" s="180">
        <v>45016</v>
      </c>
      <c r="AM27" s="290"/>
    </row>
    <row r="28" spans="2:39" ht="30" customHeight="1">
      <c r="B28" s="191" t="s">
        <v>9</v>
      </c>
      <c r="C28" s="182">
        <v>5.7</v>
      </c>
      <c r="D28" s="182">
        <v>5.81</v>
      </c>
      <c r="E28" s="182">
        <v>6.1</v>
      </c>
      <c r="F28" s="182">
        <v>6.9</v>
      </c>
      <c r="G28" s="182">
        <v>8.059212774170001</v>
      </c>
      <c r="H28" s="182">
        <v>9.1</v>
      </c>
      <c r="I28" s="182">
        <v>11.5</v>
      </c>
      <c r="J28" s="182">
        <v>10.06081225178</v>
      </c>
      <c r="K28" s="182">
        <v>10.39034534942</v>
      </c>
      <c r="L28" s="182">
        <v>9.048977246569999</v>
      </c>
      <c r="M28" s="182">
        <v>10.08629111017</v>
      </c>
      <c r="N28" s="182">
        <v>10.12277552675</v>
      </c>
      <c r="O28" s="182">
        <v>10.518426337990002</v>
      </c>
      <c r="P28" s="182">
        <v>10.413557130440001</v>
      </c>
      <c r="Q28" s="182">
        <v>10.408999502320002</v>
      </c>
      <c r="R28" s="182">
        <v>9.18082328446</v>
      </c>
      <c r="S28" s="182">
        <v>10.325248243330002</v>
      </c>
      <c r="T28" s="182">
        <v>10.68925110094</v>
      </c>
      <c r="U28" s="182">
        <v>9.1</v>
      </c>
      <c r="V28" s="182">
        <v>57.2</v>
      </c>
      <c r="W28" s="212">
        <v>52.9</v>
      </c>
      <c r="X28" s="212">
        <v>48.7</v>
      </c>
      <c r="Y28" s="212">
        <v>15.9</v>
      </c>
      <c r="Z28" s="212">
        <v>14.7</v>
      </c>
      <c r="AA28" s="212">
        <v>17.65354201339</v>
      </c>
      <c r="AB28" s="212">
        <v>17.11147659299</v>
      </c>
      <c r="AC28" s="212">
        <v>14.22163809897</v>
      </c>
      <c r="AD28" s="212">
        <f>17198725627.54/1000000000</f>
        <v>17.19872562754</v>
      </c>
      <c r="AE28" s="272">
        <v>15.8</v>
      </c>
      <c r="AF28" s="268">
        <v>17.48293912998</v>
      </c>
      <c r="AG28" s="268">
        <v>18.09133116125</v>
      </c>
      <c r="AH28" s="268">
        <v>17.420099939</v>
      </c>
      <c r="AI28" s="296">
        <v>17.2576777485142</v>
      </c>
      <c r="AJ28" s="296">
        <v>20.5284097</v>
      </c>
      <c r="AK28" s="296">
        <v>19.901970424</v>
      </c>
      <c r="AL28" s="296">
        <v>19.2592103667</v>
      </c>
      <c r="AM28" s="291"/>
    </row>
    <row r="29" spans="2:39" ht="24" customHeight="1">
      <c r="B29" s="192" t="s">
        <v>10</v>
      </c>
      <c r="C29" s="184">
        <v>24.17</v>
      </c>
      <c r="D29" s="184">
        <v>25.3</v>
      </c>
      <c r="E29" s="184">
        <v>25.6</v>
      </c>
      <c r="F29" s="184">
        <v>26.7</v>
      </c>
      <c r="G29" s="184">
        <v>29.56851175767</v>
      </c>
      <c r="H29" s="184">
        <v>32.7</v>
      </c>
      <c r="I29" s="184">
        <v>32.85372933685</v>
      </c>
      <c r="J29" s="184">
        <v>33.72921697127</v>
      </c>
      <c r="K29" s="184">
        <v>36.17493741242</v>
      </c>
      <c r="L29" s="184">
        <v>36.970516192510004</v>
      </c>
      <c r="M29" s="184">
        <v>36.01224882452001</v>
      </c>
      <c r="N29" s="184">
        <v>35.360582709339994</v>
      </c>
      <c r="O29" s="184">
        <v>35.40597664161</v>
      </c>
      <c r="P29" s="184">
        <v>35.04105603388</v>
      </c>
      <c r="Q29" s="184">
        <v>31.366050656490003</v>
      </c>
      <c r="R29" s="184">
        <v>30.88392795272</v>
      </c>
      <c r="S29" s="184">
        <v>31.052965140959998</v>
      </c>
      <c r="T29" s="184">
        <v>33.49570913661</v>
      </c>
      <c r="U29" s="184">
        <v>8.3</v>
      </c>
      <c r="V29" s="184">
        <v>12.8</v>
      </c>
      <c r="W29" s="211">
        <v>17.2</v>
      </c>
      <c r="X29" s="211">
        <v>18.3</v>
      </c>
      <c r="Y29" s="211">
        <v>42.5</v>
      </c>
      <c r="Z29" s="211">
        <v>41.7</v>
      </c>
      <c r="AA29" s="211">
        <v>44.48239523859</v>
      </c>
      <c r="AB29" s="211">
        <v>47.47563208879</v>
      </c>
      <c r="AC29" s="211">
        <v>17.56454549952</v>
      </c>
      <c r="AD29" s="211">
        <f>19120949986.88/1000000000</f>
        <v>19.12094998688</v>
      </c>
      <c r="AE29" s="273">
        <v>18.1</v>
      </c>
      <c r="AF29" s="269">
        <v>22.478503350310003</v>
      </c>
      <c r="AG29" s="269">
        <v>25.30020175833</v>
      </c>
      <c r="AH29" s="269">
        <v>22.267938265</v>
      </c>
      <c r="AI29" s="297">
        <v>22.4423682417045</v>
      </c>
      <c r="AJ29" s="297">
        <v>28.537797415</v>
      </c>
      <c r="AK29" s="297">
        <v>28.96407641</v>
      </c>
      <c r="AL29" s="297">
        <v>38.49722451</v>
      </c>
      <c r="AM29" s="291"/>
    </row>
    <row r="30" spans="2:39" ht="27.75" customHeight="1">
      <c r="B30" s="191" t="s">
        <v>11</v>
      </c>
      <c r="C30" s="182">
        <v>18.23</v>
      </c>
      <c r="D30" s="182">
        <v>19.11</v>
      </c>
      <c r="E30" s="182">
        <v>19.5</v>
      </c>
      <c r="F30" s="182">
        <v>20.8</v>
      </c>
      <c r="G30" s="182">
        <v>22.59835759084</v>
      </c>
      <c r="H30" s="182">
        <v>25.7</v>
      </c>
      <c r="I30" s="182">
        <v>25.51701881763</v>
      </c>
      <c r="J30" s="182">
        <v>26.88023015390999</v>
      </c>
      <c r="K30" s="182">
        <v>29.4121246353</v>
      </c>
      <c r="L30" s="182">
        <v>29.141561870350003</v>
      </c>
      <c r="M30" s="182">
        <v>31.433166500249996</v>
      </c>
      <c r="N30" s="182">
        <v>32.860534844198995</v>
      </c>
      <c r="O30" s="182">
        <v>28.05779309042</v>
      </c>
      <c r="P30" s="182">
        <v>28.569256271580002</v>
      </c>
      <c r="Q30" s="182">
        <v>21.682935702580004</v>
      </c>
      <c r="R30" s="182">
        <v>21.592042027620003</v>
      </c>
      <c r="S30" s="182">
        <v>23.43253052966</v>
      </c>
      <c r="T30" s="182">
        <v>29.462369421660018</v>
      </c>
      <c r="U30" s="182">
        <v>26.1</v>
      </c>
      <c r="V30" s="182">
        <v>24.4</v>
      </c>
      <c r="W30" s="212">
        <v>25.5</v>
      </c>
      <c r="X30" s="212">
        <v>29.8</v>
      </c>
      <c r="Y30" s="212">
        <v>25.2</v>
      </c>
      <c r="Z30" s="212">
        <v>28.9</v>
      </c>
      <c r="AA30" s="212">
        <v>29.051443423</v>
      </c>
      <c r="AB30" s="212">
        <v>19.31462011302</v>
      </c>
      <c r="AC30" s="212">
        <v>34.80937446158</v>
      </c>
      <c r="AD30" s="212">
        <f>29729878223.17/1000000000</f>
        <v>29.729878223169997</v>
      </c>
      <c r="AE30" s="274">
        <v>40</v>
      </c>
      <c r="AF30" s="268">
        <v>30.432175775220003</v>
      </c>
      <c r="AG30" s="268">
        <v>39.546285270448</v>
      </c>
      <c r="AH30" s="268">
        <v>42.598401316</v>
      </c>
      <c r="AI30" s="298">
        <v>39.2984541551711</v>
      </c>
      <c r="AJ30" s="298">
        <v>35.609710348</v>
      </c>
      <c r="AK30" s="298">
        <v>32.23693563</v>
      </c>
      <c r="AL30" s="298">
        <v>50.5396622348</v>
      </c>
      <c r="AM30" s="291"/>
    </row>
    <row r="31" spans="2:39" ht="27.75" customHeight="1">
      <c r="B31" s="192" t="s">
        <v>12</v>
      </c>
      <c r="C31" s="184">
        <v>1.84</v>
      </c>
      <c r="D31" s="184">
        <v>1.86</v>
      </c>
      <c r="E31" s="184">
        <v>2.1</v>
      </c>
      <c r="F31" s="184">
        <v>2.4</v>
      </c>
      <c r="G31" s="184">
        <v>2.64925036844</v>
      </c>
      <c r="H31" s="184">
        <v>2.8</v>
      </c>
      <c r="I31" s="184">
        <v>3.04767367004</v>
      </c>
      <c r="J31" s="184">
        <v>3.32951</v>
      </c>
      <c r="K31" s="184">
        <v>3.77682578764</v>
      </c>
      <c r="L31" s="184">
        <v>3.8072924273899997</v>
      </c>
      <c r="M31" s="184">
        <v>3.9</v>
      </c>
      <c r="N31" s="184">
        <v>3.17254027006</v>
      </c>
      <c r="O31" s="184">
        <v>3.07862731475</v>
      </c>
      <c r="P31" s="184">
        <v>2.83910202896</v>
      </c>
      <c r="Q31" s="184">
        <v>2.03134616671</v>
      </c>
      <c r="R31" s="184">
        <v>2.01677380989</v>
      </c>
      <c r="S31" s="184">
        <v>2.1864927275199997</v>
      </c>
      <c r="T31" s="184">
        <v>4.2571147934699995</v>
      </c>
      <c r="U31" s="184">
        <v>3.3</v>
      </c>
      <c r="V31" s="184">
        <v>3.2</v>
      </c>
      <c r="W31" s="211">
        <v>3.8</v>
      </c>
      <c r="X31" s="211">
        <v>4.3</v>
      </c>
      <c r="Y31" s="211">
        <v>6.1</v>
      </c>
      <c r="Z31" s="211">
        <v>4.8</v>
      </c>
      <c r="AA31" s="211">
        <v>4.11035373429</v>
      </c>
      <c r="AB31" s="211">
        <v>4.55362186036</v>
      </c>
      <c r="AC31" s="211">
        <v>5.09979051437</v>
      </c>
      <c r="AD31" s="211">
        <f>4733973067.5/1000000000</f>
        <v>4.7339730675</v>
      </c>
      <c r="AE31" s="273">
        <v>3.4</v>
      </c>
      <c r="AF31" s="269">
        <v>4.83741453362</v>
      </c>
      <c r="AG31" s="269">
        <v>4.74976173692</v>
      </c>
      <c r="AH31" s="269">
        <v>4.418173216</v>
      </c>
      <c r="AI31" s="297">
        <v>2.89006509734744</v>
      </c>
      <c r="AJ31" s="297">
        <v>5.53426343</v>
      </c>
      <c r="AK31" s="297">
        <v>4.44611944</v>
      </c>
      <c r="AL31" s="297">
        <v>5.3987917225</v>
      </c>
      <c r="AM31" s="291"/>
    </row>
    <row r="32" spans="2:39" ht="27.75" customHeight="1" thickBot="1">
      <c r="B32" s="191" t="s">
        <v>13</v>
      </c>
      <c r="C32" s="185">
        <v>10.51</v>
      </c>
      <c r="D32" s="185">
        <v>10.14</v>
      </c>
      <c r="E32" s="185">
        <v>11.3</v>
      </c>
      <c r="F32" s="185">
        <v>11.4</v>
      </c>
      <c r="G32" s="185">
        <v>12.13520457591</v>
      </c>
      <c r="H32" s="185">
        <v>12.2</v>
      </c>
      <c r="I32" s="185">
        <v>11.81087046889</v>
      </c>
      <c r="J32" s="185">
        <v>16.1</v>
      </c>
      <c r="K32" s="185">
        <v>15.9137458531</v>
      </c>
      <c r="L32" s="185">
        <v>18.3521016497</v>
      </c>
      <c r="M32" s="185">
        <v>19.25518642634</v>
      </c>
      <c r="N32" s="185">
        <v>19.502819001530998</v>
      </c>
      <c r="O32" s="185">
        <v>21.10788051155</v>
      </c>
      <c r="P32" s="185">
        <v>20.41851700468</v>
      </c>
      <c r="Q32" s="185">
        <v>33.4284493867125</v>
      </c>
      <c r="R32" s="185">
        <v>43.21049365924</v>
      </c>
      <c r="S32" s="185">
        <v>47.263668044279996</v>
      </c>
      <c r="T32" s="185">
        <v>38.25671488359001</v>
      </c>
      <c r="U32" s="185">
        <v>68.8</v>
      </c>
      <c r="V32" s="185">
        <v>22.1</v>
      </c>
      <c r="W32" s="213">
        <v>27.5</v>
      </c>
      <c r="X32" s="213">
        <v>30</v>
      </c>
      <c r="Y32" s="213">
        <v>42.1</v>
      </c>
      <c r="Z32" s="213">
        <v>42.3</v>
      </c>
      <c r="AA32" s="213">
        <v>45.82350349601</v>
      </c>
      <c r="AB32" s="213">
        <v>58.97942952535</v>
      </c>
      <c r="AC32" s="213">
        <v>77.98841338107</v>
      </c>
      <c r="AD32" s="213">
        <f>85195412334.18/1000000000</f>
        <v>85.19541233417999</v>
      </c>
      <c r="AE32" s="275">
        <v>83.8</v>
      </c>
      <c r="AF32" s="270">
        <v>92.5623201369</v>
      </c>
      <c r="AG32" s="270">
        <v>87.03337520805201</v>
      </c>
      <c r="AH32" s="270">
        <v>93.66216352</v>
      </c>
      <c r="AI32" s="299">
        <v>127.394233707063</v>
      </c>
      <c r="AJ32" s="299">
        <v>141.676495463</v>
      </c>
      <c r="AK32" s="299">
        <v>168.128937035</v>
      </c>
      <c r="AL32" s="299">
        <v>168.3947383388</v>
      </c>
      <c r="AM32" s="292"/>
    </row>
    <row r="33" spans="2:39" ht="14.25" thickBot="1">
      <c r="B33" s="193" t="s">
        <v>8</v>
      </c>
      <c r="C33" s="194">
        <v>60.4</v>
      </c>
      <c r="D33" s="194">
        <v>62.2</v>
      </c>
      <c r="E33" s="194">
        <v>64.6</v>
      </c>
      <c r="F33" s="194">
        <v>68.2</v>
      </c>
      <c r="G33" s="187">
        <v>75.01053706703</v>
      </c>
      <c r="H33" s="187">
        <v>82.5</v>
      </c>
      <c r="I33" s="187">
        <v>84.8005568435</v>
      </c>
      <c r="J33" s="187">
        <v>90.10001610150998</v>
      </c>
      <c r="K33" s="187">
        <v>95.66797903788</v>
      </c>
      <c r="L33" s="187">
        <v>97.32044938652001</v>
      </c>
      <c r="M33" s="187">
        <v>100.7</v>
      </c>
      <c r="N33" s="187">
        <v>101.01925235188</v>
      </c>
      <c r="O33" s="187">
        <v>98.16870389632001</v>
      </c>
      <c r="P33" s="187">
        <v>97.28148846954001</v>
      </c>
      <c r="Q33" s="187">
        <v>98.9177814148125</v>
      </c>
      <c r="R33" s="187">
        <v>106.88406073393</v>
      </c>
      <c r="S33" s="187">
        <v>114.26090468575</v>
      </c>
      <c r="T33" s="187">
        <v>116.16115933627002</v>
      </c>
      <c r="U33" s="187">
        <v>115.6</v>
      </c>
      <c r="V33" s="187">
        <v>119.7</v>
      </c>
      <c r="W33" s="187">
        <f aca="true" t="shared" si="0" ref="W33:AB33">SUM(W28:W32)</f>
        <v>126.89999999999999</v>
      </c>
      <c r="X33" s="187">
        <f t="shared" si="0"/>
        <v>131.1</v>
      </c>
      <c r="Y33" s="187">
        <f t="shared" si="0"/>
        <v>131.79999999999998</v>
      </c>
      <c r="Z33" s="187">
        <f t="shared" si="0"/>
        <v>132.4</v>
      </c>
      <c r="AA33" s="187">
        <f t="shared" si="0"/>
        <v>141.12123790528</v>
      </c>
      <c r="AB33" s="187">
        <f t="shared" si="0"/>
        <v>147.43478018051</v>
      </c>
      <c r="AC33" s="187">
        <f>SUM(AC28:AC32)</f>
        <v>149.68376195551002</v>
      </c>
      <c r="AD33" s="187">
        <f>155978939239.27/1000000000</f>
        <v>155.97893923926998</v>
      </c>
      <c r="AE33" s="276">
        <f>SUM(AE28:AE32)</f>
        <v>161.10000000000002</v>
      </c>
      <c r="AF33" s="271">
        <v>167.79335292603</v>
      </c>
      <c r="AG33" s="271">
        <v>174.720955135</v>
      </c>
      <c r="AH33" s="271">
        <v>180.366776256</v>
      </c>
      <c r="AI33" s="300">
        <f>SUM(AI28:AI32)</f>
        <v>209.28279894980022</v>
      </c>
      <c r="AJ33" s="300">
        <f>SUM(AJ28:AJ32)</f>
        <v>231.886676356</v>
      </c>
      <c r="AK33" s="300">
        <v>253.67803893900003</v>
      </c>
      <c r="AL33" s="300">
        <f>SUM(AL28:AL32)</f>
        <v>282.08962717279996</v>
      </c>
      <c r="AM33" s="293"/>
    </row>
    <row r="37" ht="12.75" thickBot="1">
      <c r="B37" s="129" t="s">
        <v>90</v>
      </c>
    </row>
    <row r="38" spans="2:39" ht="24.75" customHeight="1">
      <c r="B38" s="334" t="s">
        <v>87</v>
      </c>
      <c r="C38" s="195" t="s">
        <v>78</v>
      </c>
      <c r="D38" s="196"/>
      <c r="E38" s="196"/>
      <c r="F38" s="196"/>
      <c r="G38" s="196"/>
      <c r="H38" s="196"/>
      <c r="I38" s="196"/>
      <c r="J38" s="196"/>
      <c r="K38" s="196"/>
      <c r="L38" s="196"/>
      <c r="M38" s="196"/>
      <c r="N38" s="196"/>
      <c r="O38" s="196"/>
      <c r="P38" s="196"/>
      <c r="Q38" s="196"/>
      <c r="R38" s="196"/>
      <c r="S38" s="332"/>
      <c r="T38" s="332"/>
      <c r="U38" s="332"/>
      <c r="V38" s="332"/>
      <c r="W38" s="332"/>
      <c r="X38" s="332"/>
      <c r="Y38" s="332"/>
      <c r="Z38" s="332"/>
      <c r="AA38" s="332"/>
      <c r="AB38" s="332"/>
      <c r="AC38" s="332"/>
      <c r="AD38" s="332"/>
      <c r="AE38" s="331"/>
      <c r="AF38" s="331"/>
      <c r="AG38" s="277"/>
      <c r="AH38" s="277"/>
      <c r="AI38" s="277"/>
      <c r="AJ38" s="277"/>
      <c r="AK38" s="277"/>
      <c r="AL38" s="278"/>
      <c r="AM38" s="295"/>
    </row>
    <row r="39" spans="2:39" ht="15.75" customHeight="1">
      <c r="B39" s="335"/>
      <c r="C39" s="229">
        <v>41883</v>
      </c>
      <c r="D39" s="189">
        <v>41974</v>
      </c>
      <c r="E39" s="189">
        <v>42064</v>
      </c>
      <c r="F39" s="189">
        <v>42156</v>
      </c>
      <c r="G39" s="189">
        <v>42248</v>
      </c>
      <c r="H39" s="189">
        <v>42339</v>
      </c>
      <c r="I39" s="189">
        <v>42430</v>
      </c>
      <c r="J39" s="189">
        <v>42522</v>
      </c>
      <c r="K39" s="189">
        <v>42614</v>
      </c>
      <c r="L39" s="189">
        <v>42705</v>
      </c>
      <c r="M39" s="189">
        <v>42795</v>
      </c>
      <c r="N39" s="189">
        <v>42887</v>
      </c>
      <c r="O39" s="190">
        <v>42979</v>
      </c>
      <c r="P39" s="180">
        <v>43070</v>
      </c>
      <c r="Q39" s="180">
        <v>43160</v>
      </c>
      <c r="R39" s="180">
        <v>43281</v>
      </c>
      <c r="S39" s="180">
        <v>43373</v>
      </c>
      <c r="T39" s="180">
        <v>43465</v>
      </c>
      <c r="U39" s="180">
        <v>43555</v>
      </c>
      <c r="V39" s="180">
        <v>43646</v>
      </c>
      <c r="W39" s="180">
        <v>43709</v>
      </c>
      <c r="X39" s="180">
        <v>43818</v>
      </c>
      <c r="Y39" s="180">
        <v>43909</v>
      </c>
      <c r="Z39" s="180">
        <v>44001</v>
      </c>
      <c r="AA39" s="180">
        <v>44093</v>
      </c>
      <c r="AB39" s="180">
        <v>44184</v>
      </c>
      <c r="AC39" s="180">
        <v>44274</v>
      </c>
      <c r="AD39" s="180">
        <v>44377</v>
      </c>
      <c r="AE39" s="180">
        <v>44469</v>
      </c>
      <c r="AF39" s="180">
        <v>44561</v>
      </c>
      <c r="AG39" s="180">
        <v>44651</v>
      </c>
      <c r="AH39" s="180">
        <v>44742</v>
      </c>
      <c r="AI39" s="180">
        <v>44834</v>
      </c>
      <c r="AJ39" s="180">
        <v>44926</v>
      </c>
      <c r="AK39" s="180">
        <v>45016</v>
      </c>
      <c r="AL39" s="180">
        <v>45016</v>
      </c>
      <c r="AM39" s="290"/>
    </row>
    <row r="40" spans="2:39" ht="26.25" customHeight="1">
      <c r="B40" s="191" t="s">
        <v>9</v>
      </c>
      <c r="C40" s="182">
        <v>11.22</v>
      </c>
      <c r="D40" s="182">
        <v>12.12</v>
      </c>
      <c r="E40" s="182">
        <v>12.5</v>
      </c>
      <c r="F40" s="182">
        <v>13.99</v>
      </c>
      <c r="G40" s="182">
        <v>16.8</v>
      </c>
      <c r="H40" s="182">
        <v>19.2</v>
      </c>
      <c r="I40" s="182">
        <v>21.5</v>
      </c>
      <c r="J40" s="182">
        <v>20.56539864353</v>
      </c>
      <c r="K40" s="182">
        <v>21.20642546942</v>
      </c>
      <c r="L40" s="182">
        <v>20</v>
      </c>
      <c r="M40" s="182">
        <v>20.386055639170003</v>
      </c>
      <c r="N40" s="182">
        <v>20.790875345750003</v>
      </c>
      <c r="O40" s="197">
        <v>21.71256930499</v>
      </c>
      <c r="P40" s="182">
        <v>22.308497273440004</v>
      </c>
      <c r="Q40" s="182">
        <v>22.144210941320004</v>
      </c>
      <c r="R40" s="182">
        <v>21.679165587937394</v>
      </c>
      <c r="S40" s="182">
        <v>23.52375630433</v>
      </c>
      <c r="T40" s="182">
        <v>24.85514010294</v>
      </c>
      <c r="U40" s="182">
        <v>23.7</v>
      </c>
      <c r="V40" s="182">
        <v>73.80000000000001</v>
      </c>
      <c r="W40" s="182">
        <v>67.5</v>
      </c>
      <c r="X40" s="212">
        <v>64.2</v>
      </c>
      <c r="Y40" s="212">
        <v>31.3</v>
      </c>
      <c r="Z40" s="212">
        <f>Z15+Z28</f>
        <v>29.6</v>
      </c>
      <c r="AA40" s="212">
        <v>33.48999771458</v>
      </c>
      <c r="AB40" s="212">
        <v>33.79979171347</v>
      </c>
      <c r="AC40" s="212">
        <v>30.65153798097</v>
      </c>
      <c r="AD40" s="212">
        <f>34263505879.54/1000000000</f>
        <v>34.26350587954</v>
      </c>
      <c r="AE40" s="212">
        <v>32.7</v>
      </c>
      <c r="AF40" s="268">
        <v>36.268577864979996</v>
      </c>
      <c r="AG40" s="268">
        <v>36.86429633995616</v>
      </c>
      <c r="AH40" s="268">
        <v>37.713200321</v>
      </c>
      <c r="AI40" s="296">
        <v>41.428845329</v>
      </c>
      <c r="AJ40" s="296">
        <v>45.056569551</v>
      </c>
      <c r="AK40" s="296">
        <v>44.848444747</v>
      </c>
      <c r="AL40" s="296">
        <v>46.6359675377</v>
      </c>
      <c r="AM40" s="291"/>
    </row>
    <row r="41" spans="2:39" ht="27" customHeight="1">
      <c r="B41" s="192" t="s">
        <v>10</v>
      </c>
      <c r="C41" s="184">
        <v>27.39</v>
      </c>
      <c r="D41" s="184">
        <v>28.72</v>
      </c>
      <c r="E41" s="184">
        <v>28.8</v>
      </c>
      <c r="F41" s="184">
        <v>30.189999999999998</v>
      </c>
      <c r="G41" s="184">
        <v>33.250674619449995</v>
      </c>
      <c r="H41" s="184">
        <v>36.5</v>
      </c>
      <c r="I41" s="184">
        <v>36.36372901485</v>
      </c>
      <c r="J41" s="184">
        <v>37.483606742270005</v>
      </c>
      <c r="K41" s="184">
        <v>39.9</v>
      </c>
      <c r="L41" s="184">
        <v>40.79262007751</v>
      </c>
      <c r="M41" s="184">
        <v>39.803661679520005</v>
      </c>
      <c r="N41" s="184">
        <v>39.443841587339996</v>
      </c>
      <c r="O41" s="198">
        <v>39.65930748961</v>
      </c>
      <c r="P41" s="184">
        <v>39.46544231988</v>
      </c>
      <c r="Q41" s="184">
        <v>35.673151411490004</v>
      </c>
      <c r="R41" s="184">
        <v>35.51026945365249</v>
      </c>
      <c r="S41" s="184">
        <v>35.94835862796</v>
      </c>
      <c r="T41" s="184">
        <v>38.77690659361</v>
      </c>
      <c r="U41" s="184">
        <v>13</v>
      </c>
      <c r="V41" s="184">
        <v>17.3</v>
      </c>
      <c r="W41" s="184">
        <v>22.1</v>
      </c>
      <c r="X41" s="211">
        <v>24</v>
      </c>
      <c r="Y41" s="211">
        <v>47.7</v>
      </c>
      <c r="Z41" s="211">
        <f>Z16+Z29</f>
        <v>46.7</v>
      </c>
      <c r="AA41" s="211">
        <v>50.038558945958</v>
      </c>
      <c r="AB41" s="211">
        <v>53.724636846078</v>
      </c>
      <c r="AC41" s="211">
        <v>23.94667218952</v>
      </c>
      <c r="AD41" s="211">
        <f>25972605046.88/1000000000</f>
        <v>25.972605046880002</v>
      </c>
      <c r="AE41" s="211">
        <f>25972605046.88/1000000000</f>
        <v>25.972605046880002</v>
      </c>
      <c r="AF41" s="269">
        <v>31.2</v>
      </c>
      <c r="AG41" s="269">
        <v>34.30849510681596</v>
      </c>
      <c r="AH41" s="269">
        <v>32.167324198</v>
      </c>
      <c r="AI41" s="297">
        <v>31.692557212</v>
      </c>
      <c r="AJ41" s="297">
        <v>40.577619942</v>
      </c>
      <c r="AK41" s="297">
        <v>41.150221418</v>
      </c>
      <c r="AL41" s="297">
        <v>51.965272486</v>
      </c>
      <c r="AM41" s="291"/>
    </row>
    <row r="42" spans="2:39" ht="24.75" customHeight="1">
      <c r="B42" s="191" t="s">
        <v>11</v>
      </c>
      <c r="C42" s="182">
        <v>31.78</v>
      </c>
      <c r="D42" s="182">
        <v>32.7</v>
      </c>
      <c r="E42" s="182">
        <v>32.4</v>
      </c>
      <c r="F42" s="182">
        <v>34.77</v>
      </c>
      <c r="G42" s="182">
        <v>37.387792043839994</v>
      </c>
      <c r="H42" s="182">
        <v>40.8</v>
      </c>
      <c r="I42" s="182">
        <v>39.69147809863001</v>
      </c>
      <c r="J42" s="182">
        <v>42.20922235690999</v>
      </c>
      <c r="K42" s="182">
        <v>45.2284527753</v>
      </c>
      <c r="L42" s="182">
        <v>45.5</v>
      </c>
      <c r="M42" s="182">
        <v>47.42816403325</v>
      </c>
      <c r="N42" s="182">
        <v>50.216132549198996</v>
      </c>
      <c r="O42" s="197">
        <v>46.24027340542</v>
      </c>
      <c r="P42" s="182">
        <v>47.380329979580004</v>
      </c>
      <c r="Q42" s="182">
        <v>40.27098177658</v>
      </c>
      <c r="R42" s="182">
        <v>41.81068195852485</v>
      </c>
      <c r="S42" s="182">
        <v>43.92153372766</v>
      </c>
      <c r="T42" s="182">
        <v>51.210294524660014</v>
      </c>
      <c r="U42" s="182">
        <v>47.2</v>
      </c>
      <c r="V42" s="182">
        <v>44.2</v>
      </c>
      <c r="W42" s="182">
        <v>47.8</v>
      </c>
      <c r="X42" s="212">
        <v>52.4</v>
      </c>
      <c r="Y42" s="212">
        <v>47.6</v>
      </c>
      <c r="Z42" s="212">
        <f>Z17+Z30</f>
        <v>50.8</v>
      </c>
      <c r="AA42" s="212">
        <v>51.837903601812</v>
      </c>
      <c r="AB42" s="212">
        <v>43.059774169732</v>
      </c>
      <c r="AC42" s="212">
        <v>59.15440483958</v>
      </c>
      <c r="AD42" s="212">
        <f>56394702784.17/1000000000</f>
        <v>56.39470278417</v>
      </c>
      <c r="AE42" s="257">
        <v>67.9</v>
      </c>
      <c r="AF42" s="268">
        <v>60.63688466422</v>
      </c>
      <c r="AG42" s="268">
        <v>70.83687125322774</v>
      </c>
      <c r="AH42" s="268">
        <v>76.242041355</v>
      </c>
      <c r="AI42" s="302">
        <v>71.207157219</v>
      </c>
      <c r="AJ42" s="302">
        <v>78.836480357</v>
      </c>
      <c r="AK42" s="302">
        <v>78.164150715</v>
      </c>
      <c r="AL42" s="302">
        <v>99.1278098868</v>
      </c>
      <c r="AM42" s="291"/>
    </row>
    <row r="43" spans="2:39" ht="23.25" customHeight="1">
      <c r="B43" s="192" t="s">
        <v>12</v>
      </c>
      <c r="C43" s="184">
        <v>3.34</v>
      </c>
      <c r="D43" s="184">
        <v>3.5</v>
      </c>
      <c r="E43" s="184">
        <v>3.7</v>
      </c>
      <c r="F43" s="184">
        <v>4.04</v>
      </c>
      <c r="G43" s="184">
        <v>4.3</v>
      </c>
      <c r="H43" s="184">
        <v>4.6</v>
      </c>
      <c r="I43" s="184">
        <v>4.69824944104</v>
      </c>
      <c r="J43" s="184">
        <v>5.13260020351</v>
      </c>
      <c r="K43" s="184">
        <v>5.51938454964</v>
      </c>
      <c r="L43" s="184">
        <v>5.589277130389999</v>
      </c>
      <c r="M43" s="184">
        <v>5.600382106</v>
      </c>
      <c r="N43" s="184">
        <v>5.00107890306</v>
      </c>
      <c r="O43" s="198">
        <v>4.94127785875</v>
      </c>
      <c r="P43" s="184">
        <v>4.84150484596</v>
      </c>
      <c r="Q43" s="184">
        <v>4.06115262671</v>
      </c>
      <c r="R43" s="184">
        <v>4.350212794282534</v>
      </c>
      <c r="S43" s="184">
        <v>4.53594807752</v>
      </c>
      <c r="T43" s="184">
        <v>6.68494495947</v>
      </c>
      <c r="U43" s="184">
        <v>5.5</v>
      </c>
      <c r="V43" s="184">
        <v>5.4</v>
      </c>
      <c r="W43" s="184">
        <v>6.2</v>
      </c>
      <c r="X43" s="211">
        <v>7.1</v>
      </c>
      <c r="Y43" s="211">
        <v>8.9</v>
      </c>
      <c r="Z43" s="211">
        <f>Z18+Z31</f>
        <v>7.6</v>
      </c>
      <c r="AA43" s="211">
        <v>7.12165853439</v>
      </c>
      <c r="AB43" s="211">
        <v>7.68227314166</v>
      </c>
      <c r="AC43" s="211">
        <v>8.23115725437</v>
      </c>
      <c r="AD43" s="211">
        <f>7972803401.5/1000000000</f>
        <v>7.9728034015</v>
      </c>
      <c r="AE43" s="211">
        <v>8.5</v>
      </c>
      <c r="AF43" s="269">
        <v>8.17957008762</v>
      </c>
      <c r="AG43" s="269">
        <v>8.173625746183482</v>
      </c>
      <c r="AH43" s="269">
        <v>8.279305369</v>
      </c>
      <c r="AI43" s="301">
        <v>6.801690147</v>
      </c>
      <c r="AJ43" s="301">
        <v>10.484659176</v>
      </c>
      <c r="AK43" s="301">
        <v>10.041810239</v>
      </c>
      <c r="AL43" s="301">
        <v>11.7356600015</v>
      </c>
      <c r="AM43" s="291"/>
    </row>
    <row r="44" spans="2:39" ht="21" customHeight="1">
      <c r="B44" s="191" t="s">
        <v>13</v>
      </c>
      <c r="C44" s="185">
        <v>13.28</v>
      </c>
      <c r="D44" s="185">
        <v>12.92</v>
      </c>
      <c r="E44" s="185">
        <v>13.9</v>
      </c>
      <c r="F44" s="185">
        <v>14.13</v>
      </c>
      <c r="G44" s="185">
        <v>15</v>
      </c>
      <c r="H44" s="185">
        <v>15.399999999999999</v>
      </c>
      <c r="I44" s="185">
        <v>14.80107094289</v>
      </c>
      <c r="J44" s="185">
        <v>19.1</v>
      </c>
      <c r="K44" s="185">
        <v>19.2724238291</v>
      </c>
      <c r="L44" s="185">
        <v>22.0621431827</v>
      </c>
      <c r="M44" s="185">
        <v>22.91805139824</v>
      </c>
      <c r="N44" s="185">
        <v>23.221884655531</v>
      </c>
      <c r="O44" s="199">
        <v>24.896718553950002</v>
      </c>
      <c r="P44" s="185">
        <v>24.289293045580003</v>
      </c>
      <c r="Q44" s="185">
        <v>37.0812595867125</v>
      </c>
      <c r="R44" s="185">
        <v>47.072411464532735</v>
      </c>
      <c r="S44" s="185">
        <v>51.350904846279995</v>
      </c>
      <c r="T44" s="185">
        <v>42.54325238959001</v>
      </c>
      <c r="U44" s="185">
        <v>72.7</v>
      </c>
      <c r="V44" s="185">
        <v>26.3</v>
      </c>
      <c r="W44" s="185">
        <v>32.1</v>
      </c>
      <c r="X44" s="213">
        <v>35.2</v>
      </c>
      <c r="Y44" s="213">
        <v>46.9</v>
      </c>
      <c r="Z44" s="213">
        <f>Z19+Z32</f>
        <v>46.599999999999994</v>
      </c>
      <c r="AA44" s="213">
        <v>50.81767528088</v>
      </c>
      <c r="AB44" s="213">
        <v>64.09538490157</v>
      </c>
      <c r="AC44" s="213">
        <v>83.02557062242</v>
      </c>
      <c r="AD44" s="213">
        <f>90577089790.18/1000000000</f>
        <v>90.57708979018</v>
      </c>
      <c r="AE44" s="213">
        <v>89.6</v>
      </c>
      <c r="AF44" s="270">
        <v>98.80009153389999</v>
      </c>
      <c r="AG44" s="270">
        <v>93.53894279081665</v>
      </c>
      <c r="AH44" s="270">
        <v>100.587568452</v>
      </c>
      <c r="AI44" s="303">
        <v>139.651467171</v>
      </c>
      <c r="AJ44" s="303">
        <v>141.676495463</v>
      </c>
      <c r="AK44" s="303">
        <v>176.122249234</v>
      </c>
      <c r="AL44" s="303">
        <v>177.0439404898</v>
      </c>
      <c r="AM44" s="292"/>
    </row>
    <row r="45" spans="2:39" ht="23.25" customHeight="1" thickBot="1">
      <c r="B45" s="193" t="s">
        <v>8</v>
      </c>
      <c r="C45" s="187">
        <v>87</v>
      </c>
      <c r="D45" s="194">
        <v>89.9</v>
      </c>
      <c r="E45" s="194">
        <v>91.3</v>
      </c>
      <c r="F45" s="194">
        <v>97.1</v>
      </c>
      <c r="G45" s="187">
        <v>106.82777301414335</v>
      </c>
      <c r="H45" s="194">
        <v>116.5</v>
      </c>
      <c r="I45" s="187">
        <v>117.1177871785</v>
      </c>
      <c r="J45" s="187">
        <v>124.54701884625997</v>
      </c>
      <c r="K45" s="187">
        <v>131.05668924588</v>
      </c>
      <c r="L45" s="187">
        <v>134.00114387852</v>
      </c>
      <c r="M45" s="187">
        <v>136.1494219949</v>
      </c>
      <c r="N45" s="187">
        <v>138.67381304088</v>
      </c>
      <c r="O45" s="200">
        <v>137.45014661272</v>
      </c>
      <c r="P45" s="187">
        <v>138.28506746444</v>
      </c>
      <c r="Q45" s="187">
        <v>139.2307563428125</v>
      </c>
      <c r="R45" s="187">
        <v>150.42274125893</v>
      </c>
      <c r="S45" s="187">
        <v>159.28050158375</v>
      </c>
      <c r="T45" s="187">
        <v>164.07053857027</v>
      </c>
      <c r="U45" s="187">
        <v>162.1</v>
      </c>
      <c r="V45" s="187">
        <v>167</v>
      </c>
      <c r="W45" s="187">
        <v>175.7</v>
      </c>
      <c r="X45" s="187">
        <f aca="true" t="shared" si="1" ref="X45:AC45">SUM(X40:X44)</f>
        <v>182.89999999999998</v>
      </c>
      <c r="Y45" s="187">
        <f t="shared" si="1"/>
        <v>182.4</v>
      </c>
      <c r="Z45" s="187">
        <f t="shared" si="1"/>
        <v>181.3</v>
      </c>
      <c r="AA45" s="187">
        <f t="shared" si="1"/>
        <v>193.30579407762002</v>
      </c>
      <c r="AB45" s="187">
        <f t="shared" si="1"/>
        <v>202.36186077251</v>
      </c>
      <c r="AC45" s="187">
        <f t="shared" si="1"/>
        <v>205.00934288686</v>
      </c>
      <c r="AD45" s="187">
        <f>215180706902.27/1000000000</f>
        <v>215.18070690226997</v>
      </c>
      <c r="AE45" s="187">
        <v>224.9</v>
      </c>
      <c r="AF45" s="271">
        <v>235.13518634903</v>
      </c>
      <c r="AG45" s="271">
        <v>243.722231237</v>
      </c>
      <c r="AH45" s="271">
        <v>254.989439695</v>
      </c>
      <c r="AI45" s="304">
        <v>290.782717078</v>
      </c>
      <c r="AJ45" s="304">
        <v>324.572513181</v>
      </c>
      <c r="AK45" s="304">
        <v>350.326876353</v>
      </c>
      <c r="AL45" s="304">
        <v>386.5086504018</v>
      </c>
      <c r="AM45" s="293"/>
    </row>
    <row r="57" spans="13:15" ht="12">
      <c r="M57" s="201"/>
      <c r="N57" s="201"/>
      <c r="O57" s="201"/>
    </row>
    <row r="58" spans="13:15" ht="12">
      <c r="M58" s="202"/>
      <c r="N58" s="202"/>
      <c r="O58" s="202"/>
    </row>
    <row r="59" spans="13:15" ht="12">
      <c r="M59" s="203"/>
      <c r="N59" s="203"/>
      <c r="O59" s="203"/>
    </row>
  </sheetData>
  <sheetProtection/>
  <mergeCells count="7">
    <mergeCell ref="AE38:AF38"/>
    <mergeCell ref="S38:AD38"/>
    <mergeCell ref="V26:AC26"/>
    <mergeCell ref="B38:B39"/>
    <mergeCell ref="B13:B14"/>
    <mergeCell ref="B26:B27"/>
    <mergeCell ref="AC13:AD13"/>
  </mergeCells>
  <printOptions/>
  <pageMargins left="0.7" right="0.7" top="0.75" bottom="0.75" header="0.3" footer="0.3"/>
  <pageSetup horizontalDpi="600" verticalDpi="600" orientation="portrait" scale="25" r:id="rId2"/>
  <headerFooter>
    <oddHeader>&amp;C 
</oddHeader>
    <oddFooter>&amp;C 
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T28"/>
  <sheetViews>
    <sheetView zoomScalePageLayoutView="0" workbookViewId="0" topLeftCell="A1">
      <selection activeCell="B16" sqref="B16"/>
    </sheetView>
  </sheetViews>
  <sheetFormatPr defaultColWidth="9.33203125" defaultRowHeight="12.75"/>
  <cols>
    <col min="1" max="1" width="3.33203125" style="1" customWidth="1"/>
    <col min="2" max="2" width="56.16015625" style="52" customWidth="1"/>
    <col min="3" max="16384" width="9.33203125" style="1" customWidth="1"/>
  </cols>
  <sheetData>
    <row r="1" ht="15">
      <c r="B1" s="47" t="s">
        <v>39</v>
      </c>
    </row>
    <row r="3" spans="2:46" ht="15">
      <c r="B3" s="39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</row>
    <row r="4" spans="2:46" ht="15.75" thickBot="1">
      <c r="B4" s="41"/>
      <c r="C4" s="42">
        <v>38779</v>
      </c>
      <c r="D4" s="42">
        <v>38871</v>
      </c>
      <c r="E4" s="42">
        <v>38963</v>
      </c>
      <c r="F4" s="42">
        <v>39054</v>
      </c>
      <c r="G4" s="42">
        <v>39144</v>
      </c>
      <c r="H4" s="42">
        <v>39236</v>
      </c>
      <c r="I4" s="42">
        <v>39328</v>
      </c>
      <c r="J4" s="42">
        <v>39419</v>
      </c>
      <c r="K4" s="42">
        <v>39510</v>
      </c>
      <c r="L4" s="42">
        <v>39602</v>
      </c>
      <c r="M4" s="42">
        <v>39694</v>
      </c>
      <c r="N4" s="42">
        <v>39785</v>
      </c>
      <c r="O4" s="42">
        <v>39875</v>
      </c>
      <c r="P4" s="42">
        <v>39967</v>
      </c>
      <c r="Q4" s="42">
        <v>40059</v>
      </c>
      <c r="R4" s="42">
        <v>40150</v>
      </c>
      <c r="S4" s="42">
        <v>40240</v>
      </c>
      <c r="T4" s="42">
        <v>40332</v>
      </c>
      <c r="U4" s="42">
        <v>40424</v>
      </c>
      <c r="V4" s="42">
        <v>40515</v>
      </c>
      <c r="W4" s="42">
        <v>40605</v>
      </c>
      <c r="X4" s="42">
        <v>40697</v>
      </c>
      <c r="Y4" s="42">
        <v>40789</v>
      </c>
      <c r="Z4" s="42">
        <v>40878</v>
      </c>
      <c r="AA4" s="42">
        <v>40969</v>
      </c>
      <c r="AB4" s="42">
        <v>41061</v>
      </c>
      <c r="AC4" s="42">
        <v>41153</v>
      </c>
      <c r="AD4" s="42">
        <v>41244</v>
      </c>
      <c r="AE4" s="42">
        <v>41334</v>
      </c>
      <c r="AF4" s="42">
        <v>41426</v>
      </c>
      <c r="AG4" s="42">
        <v>41518</v>
      </c>
      <c r="AH4" s="42">
        <v>41609</v>
      </c>
      <c r="AI4" s="42">
        <v>41699</v>
      </c>
      <c r="AJ4" s="42">
        <v>41791</v>
      </c>
      <c r="AK4" s="42">
        <v>41883</v>
      </c>
      <c r="AL4" s="42">
        <v>42004</v>
      </c>
      <c r="AM4" s="42">
        <v>42094</v>
      </c>
      <c r="AN4" s="42">
        <v>42185</v>
      </c>
      <c r="AO4" s="42">
        <v>42248</v>
      </c>
      <c r="AP4" s="42">
        <v>42369</v>
      </c>
      <c r="AQ4" s="42">
        <v>42460</v>
      </c>
      <c r="AR4" s="42">
        <v>42551</v>
      </c>
      <c r="AS4" s="42">
        <v>42643</v>
      </c>
      <c r="AT4" s="42">
        <v>42735</v>
      </c>
    </row>
    <row r="5" spans="1:41" s="44" customFormat="1" ht="15">
      <c r="A5" s="1"/>
      <c r="B5" s="43" t="s">
        <v>40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</row>
    <row r="6" spans="1:46" s="48" customFormat="1" ht="15">
      <c r="A6" s="48">
        <v>1</v>
      </c>
      <c r="B6" s="49" t="s">
        <v>54</v>
      </c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1"/>
      <c r="AQ6" s="51"/>
      <c r="AR6" s="51"/>
      <c r="AS6" s="51"/>
      <c r="AT6" s="51"/>
    </row>
    <row r="7" spans="3:41" ht="15"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</row>
    <row r="8" spans="1:41" s="44" customFormat="1" ht="15">
      <c r="A8" s="1"/>
      <c r="B8" s="43" t="s">
        <v>41</v>
      </c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</row>
    <row r="9" spans="1:46" s="48" customFormat="1" ht="15">
      <c r="A9" s="48">
        <v>2</v>
      </c>
      <c r="B9" s="49" t="s">
        <v>42</v>
      </c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1"/>
      <c r="AQ9" s="51"/>
      <c r="AR9" s="51"/>
      <c r="AS9" s="51"/>
      <c r="AT9" s="51"/>
    </row>
    <row r="10" spans="2:46" ht="15">
      <c r="B10" s="54" t="s">
        <v>55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6"/>
      <c r="AQ10" s="56"/>
      <c r="AR10" s="56"/>
      <c r="AS10" s="56"/>
      <c r="AT10" s="56"/>
    </row>
    <row r="11" spans="2:46" ht="15">
      <c r="B11" s="54" t="s">
        <v>43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6"/>
      <c r="AQ11" s="56"/>
      <c r="AR11" s="56"/>
      <c r="AS11" s="56"/>
      <c r="AT11" s="56"/>
    </row>
    <row r="12" spans="2:46" ht="15">
      <c r="B12" s="54" t="s">
        <v>44</v>
      </c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6"/>
      <c r="AQ12" s="56"/>
      <c r="AR12" s="56"/>
      <c r="AS12" s="56"/>
      <c r="AT12" s="56"/>
    </row>
    <row r="13" spans="3:41" ht="15"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</row>
    <row r="14" spans="1:41" s="44" customFormat="1" ht="15">
      <c r="A14" s="1"/>
      <c r="B14" s="43" t="s">
        <v>45</v>
      </c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</row>
    <row r="15" spans="1:46" s="48" customFormat="1" ht="15">
      <c r="A15" s="48">
        <v>3</v>
      </c>
      <c r="B15" s="49" t="s">
        <v>46</v>
      </c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1"/>
      <c r="AQ15" s="51"/>
      <c r="AR15" s="51"/>
      <c r="AS15" s="51"/>
      <c r="AT15" s="51"/>
    </row>
    <row r="16" spans="1:46" s="48" customFormat="1" ht="15">
      <c r="A16" s="48">
        <v>4</v>
      </c>
      <c r="B16" s="49" t="s">
        <v>47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1"/>
      <c r="AQ16" s="51"/>
      <c r="AR16" s="51"/>
      <c r="AS16" s="51"/>
      <c r="AT16" s="51"/>
    </row>
    <row r="17" spans="2:46" ht="15">
      <c r="B17" s="54" t="s">
        <v>48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6"/>
      <c r="AQ17" s="56"/>
      <c r="AR17" s="56"/>
      <c r="AS17" s="56"/>
      <c r="AT17" s="56"/>
    </row>
    <row r="18" spans="2:46" ht="15">
      <c r="B18" s="54" t="s">
        <v>49</v>
      </c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6"/>
      <c r="AQ18" s="56"/>
      <c r="AR18" s="56"/>
      <c r="AS18" s="56"/>
      <c r="AT18" s="56"/>
    </row>
    <row r="19" spans="3:41" ht="15"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</row>
    <row r="20" spans="1:41" s="44" customFormat="1" ht="15">
      <c r="A20" s="1"/>
      <c r="B20" s="43" t="s">
        <v>50</v>
      </c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</row>
    <row r="21" spans="2:46" ht="15">
      <c r="B21" s="54" t="s">
        <v>51</v>
      </c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</row>
    <row r="22" spans="1:46" s="48" customFormat="1" ht="15">
      <c r="A22" s="48">
        <v>5</v>
      </c>
      <c r="B22" s="49" t="s">
        <v>58</v>
      </c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</row>
    <row r="23" spans="2:46" ht="15">
      <c r="B23" s="54" t="s">
        <v>52</v>
      </c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</row>
    <row r="24" spans="2:46" ht="15">
      <c r="B24" s="54" t="s">
        <v>53</v>
      </c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</row>
    <row r="25" spans="2:46" ht="15">
      <c r="B25" s="54" t="s">
        <v>56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</row>
    <row r="26" spans="2:46" ht="15.75" thickBot="1">
      <c r="B26" s="57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</row>
    <row r="28" ht="15">
      <c r="B28" s="52" t="s">
        <v>57</v>
      </c>
    </row>
  </sheetData>
  <sheetProtection/>
  <printOptions/>
  <pageMargins left="0.7" right="0.7" top="0.75" bottom="0.75" header="0.3" footer="0.3"/>
  <pageSetup horizontalDpi="300" verticalDpi="300" orientation="portrait" r:id="rId1"/>
  <headerFooter>
    <oddHeader>&amp;C 
</oddHeader>
    <oddFooter>&amp;C 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3:N21"/>
  <sheetViews>
    <sheetView zoomScalePageLayoutView="0" workbookViewId="0" topLeftCell="A1">
      <selection activeCell="M10" sqref="M10"/>
    </sheetView>
  </sheetViews>
  <sheetFormatPr defaultColWidth="9.33203125" defaultRowHeight="12.75"/>
  <cols>
    <col min="1" max="1" width="9.33203125" style="59" customWidth="1"/>
    <col min="2" max="2" width="27.66015625" style="59" customWidth="1"/>
    <col min="3" max="3" width="15.5" style="60" customWidth="1"/>
    <col min="4" max="4" width="17.16015625" style="60" customWidth="1"/>
    <col min="5" max="5" width="15.5" style="60" customWidth="1"/>
    <col min="6" max="6" width="16.33203125" style="60" customWidth="1"/>
    <col min="7" max="7" width="17.33203125" style="60" customWidth="1"/>
    <col min="8" max="8" width="15.5" style="60" customWidth="1"/>
    <col min="9" max="9" width="9.33203125" style="59" customWidth="1"/>
    <col min="10" max="10" width="23.5" style="59" customWidth="1"/>
    <col min="11" max="11" width="22.16015625" style="59" customWidth="1"/>
    <col min="12" max="12" width="19" style="59" customWidth="1"/>
    <col min="13" max="13" width="23" style="59" customWidth="1"/>
    <col min="14" max="14" width="19.66015625" style="59" customWidth="1"/>
    <col min="15" max="16384" width="9.33203125" style="59" customWidth="1"/>
  </cols>
  <sheetData>
    <row r="2" ht="13.5" thickBot="1"/>
    <row r="3" spans="2:14" ht="16.5" customHeight="1" thickBot="1">
      <c r="B3" s="338" t="s">
        <v>60</v>
      </c>
      <c r="C3" s="340">
        <v>42369</v>
      </c>
      <c r="D3" s="340"/>
      <c r="E3" s="340"/>
      <c r="F3" s="341">
        <v>42735</v>
      </c>
      <c r="G3" s="340"/>
      <c r="H3" s="342"/>
      <c r="J3" s="343" t="s">
        <v>70</v>
      </c>
      <c r="K3" s="341">
        <v>42369</v>
      </c>
      <c r="L3" s="342"/>
      <c r="M3" s="341">
        <v>42735</v>
      </c>
      <c r="N3" s="342"/>
    </row>
    <row r="4" spans="2:14" ht="16.5" customHeight="1" thickBot="1">
      <c r="B4" s="339"/>
      <c r="C4" s="61" t="s">
        <v>61</v>
      </c>
      <c r="D4" s="62" t="s">
        <v>62</v>
      </c>
      <c r="E4" s="62" t="s">
        <v>8</v>
      </c>
      <c r="F4" s="63" t="s">
        <v>61</v>
      </c>
      <c r="G4" s="62" t="s">
        <v>62</v>
      </c>
      <c r="H4" s="64" t="s">
        <v>8</v>
      </c>
      <c r="J4" s="344"/>
      <c r="K4" s="112" t="s">
        <v>68</v>
      </c>
      <c r="L4" s="117" t="s">
        <v>69</v>
      </c>
      <c r="M4" s="112" t="s">
        <v>68</v>
      </c>
      <c r="N4" s="117" t="s">
        <v>69</v>
      </c>
    </row>
    <row r="5" spans="2:14" ht="12.75">
      <c r="B5" s="65" t="s">
        <v>63</v>
      </c>
      <c r="C5" s="66">
        <v>1090715</v>
      </c>
      <c r="D5" s="67">
        <v>205811</v>
      </c>
      <c r="E5" s="68">
        <f>C5+D5</f>
        <v>1296526</v>
      </c>
      <c r="F5" s="69">
        <v>1200301</v>
      </c>
      <c r="G5" s="70">
        <v>166147</v>
      </c>
      <c r="H5" s="71">
        <f>F5+G5</f>
        <v>1366448</v>
      </c>
      <c r="J5" s="65" t="s">
        <v>63</v>
      </c>
      <c r="K5" s="122">
        <v>1296526</v>
      </c>
      <c r="L5" s="118">
        <v>1367209</v>
      </c>
      <c r="M5" s="122">
        <v>1366448</v>
      </c>
      <c r="N5" s="118">
        <v>1381993</v>
      </c>
    </row>
    <row r="6" spans="2:14" ht="12.75">
      <c r="B6" s="72" t="s">
        <v>64</v>
      </c>
      <c r="C6" s="73">
        <v>839834</v>
      </c>
      <c r="D6" s="74">
        <v>134364</v>
      </c>
      <c r="E6" s="75">
        <f>C6+D6</f>
        <v>974198</v>
      </c>
      <c r="F6" s="76">
        <v>940489</v>
      </c>
      <c r="G6" s="77">
        <v>103172</v>
      </c>
      <c r="H6" s="78">
        <f>F6+G6</f>
        <v>1043661</v>
      </c>
      <c r="J6" s="72" t="s">
        <v>64</v>
      </c>
      <c r="K6" s="123">
        <v>974198</v>
      </c>
      <c r="L6" s="119">
        <v>1025235</v>
      </c>
      <c r="M6" s="123">
        <v>1043661</v>
      </c>
      <c r="N6" s="119">
        <v>1057285</v>
      </c>
    </row>
    <row r="7" spans="2:14" ht="13.5" thickBot="1">
      <c r="B7" s="79" t="s">
        <v>65</v>
      </c>
      <c r="C7" s="80">
        <v>187234</v>
      </c>
      <c r="D7" s="81">
        <v>33146</v>
      </c>
      <c r="E7" s="82">
        <f>C7+D7</f>
        <v>220380</v>
      </c>
      <c r="F7" s="83">
        <v>208862</v>
      </c>
      <c r="G7" s="84">
        <v>11132</v>
      </c>
      <c r="H7" s="85">
        <f>F7+G7</f>
        <v>219994</v>
      </c>
      <c r="J7" s="79" t="s">
        <v>65</v>
      </c>
      <c r="K7" s="124">
        <v>220380</v>
      </c>
      <c r="L7" s="120">
        <v>244996</v>
      </c>
      <c r="M7" s="124">
        <v>219994</v>
      </c>
      <c r="N7" s="120">
        <v>215627</v>
      </c>
    </row>
    <row r="8" spans="2:14" ht="13.5" thickBot="1">
      <c r="B8" s="86" t="s">
        <v>8</v>
      </c>
      <c r="C8" s="87">
        <v>2117783</v>
      </c>
      <c r="D8" s="88">
        <f>SUM(D5:D7)</f>
        <v>373321</v>
      </c>
      <c r="E8" s="88">
        <f>C8+D8</f>
        <v>2491104</v>
      </c>
      <c r="F8" s="89">
        <v>2349652</v>
      </c>
      <c r="G8" s="88">
        <f>SUM(G5:G7)</f>
        <v>280451</v>
      </c>
      <c r="H8" s="90">
        <f>F8+G8</f>
        <v>2630103</v>
      </c>
      <c r="J8" s="86" t="s">
        <v>8</v>
      </c>
      <c r="K8" s="125">
        <v>2491104</v>
      </c>
      <c r="L8" s="121">
        <v>2637440</v>
      </c>
      <c r="M8" s="125">
        <v>2630103</v>
      </c>
      <c r="N8" s="121">
        <v>2654905</v>
      </c>
    </row>
    <row r="9" spans="2:14" s="93" customFormat="1" ht="13.5" thickBot="1">
      <c r="B9" s="91"/>
      <c r="C9" s="92"/>
      <c r="D9" s="92"/>
      <c r="E9" s="92"/>
      <c r="F9" s="92"/>
      <c r="G9" s="92"/>
      <c r="H9" s="92"/>
      <c r="J9" s="91"/>
      <c r="K9" s="92"/>
      <c r="L9" s="92"/>
      <c r="M9" s="92"/>
      <c r="N9" s="92"/>
    </row>
    <row r="10" spans="2:14" ht="15" customHeight="1" thickBot="1">
      <c r="B10" s="338" t="s">
        <v>67</v>
      </c>
      <c r="C10" s="340">
        <v>42369</v>
      </c>
      <c r="D10" s="340"/>
      <c r="E10" s="340"/>
      <c r="F10" s="341">
        <v>42735</v>
      </c>
      <c r="G10" s="340"/>
      <c r="H10" s="342"/>
      <c r="J10" s="91"/>
      <c r="K10" s="92"/>
      <c r="L10" s="92"/>
      <c r="M10" s="92" t="e">
        <f>#REF!-Sheet1!M8</f>
        <v>#REF!</v>
      </c>
      <c r="N10" s="92"/>
    </row>
    <row r="11" spans="2:14" ht="16.5" customHeight="1" thickBot="1">
      <c r="B11" s="339"/>
      <c r="C11" s="112" t="s">
        <v>61</v>
      </c>
      <c r="D11" s="113" t="s">
        <v>62</v>
      </c>
      <c r="E11" s="112" t="s">
        <v>8</v>
      </c>
      <c r="F11" s="63" t="s">
        <v>61</v>
      </c>
      <c r="G11" s="62" t="s">
        <v>62</v>
      </c>
      <c r="H11" s="64" t="s">
        <v>8</v>
      </c>
      <c r="J11" s="91"/>
      <c r="K11" s="92"/>
      <c r="L11" s="92"/>
      <c r="M11" s="92"/>
      <c r="N11" s="92"/>
    </row>
    <row r="12" spans="2:14" ht="12.75">
      <c r="B12" s="65" t="s">
        <v>63</v>
      </c>
      <c r="C12" s="66">
        <v>1207151</v>
      </c>
      <c r="D12" s="114">
        <v>160058</v>
      </c>
      <c r="E12" s="68">
        <f>C12+D12</f>
        <v>1367209</v>
      </c>
      <c r="F12" s="69">
        <v>1274222</v>
      </c>
      <c r="G12" s="70">
        <v>107771</v>
      </c>
      <c r="H12" s="71">
        <f>F12+G12</f>
        <v>1381993</v>
      </c>
      <c r="J12" s="91"/>
      <c r="K12" s="92"/>
      <c r="L12" s="92"/>
      <c r="M12" s="92"/>
      <c r="N12" s="92"/>
    </row>
    <row r="13" spans="2:14" ht="12.75">
      <c r="B13" s="94" t="s">
        <v>64</v>
      </c>
      <c r="C13" s="73">
        <v>919253</v>
      </c>
      <c r="D13" s="115">
        <v>105982</v>
      </c>
      <c r="E13" s="75">
        <f>C13+D13</f>
        <v>1025235</v>
      </c>
      <c r="F13" s="76">
        <v>991005</v>
      </c>
      <c r="G13" s="77">
        <v>66280</v>
      </c>
      <c r="H13" s="78">
        <f>F13+G13</f>
        <v>1057285</v>
      </c>
      <c r="J13" s="91"/>
      <c r="K13" s="92"/>
      <c r="L13" s="92"/>
      <c r="M13" s="92"/>
      <c r="N13" s="92"/>
    </row>
    <row r="14" spans="2:14" ht="13.5" thickBot="1">
      <c r="B14" s="95" t="s">
        <v>65</v>
      </c>
      <c r="C14" s="80">
        <v>186544</v>
      </c>
      <c r="D14" s="116">
        <v>58452</v>
      </c>
      <c r="E14" s="82">
        <f>C14+D14</f>
        <v>244996</v>
      </c>
      <c r="F14" s="96">
        <v>207865</v>
      </c>
      <c r="G14" s="84">
        <v>7762</v>
      </c>
      <c r="H14" s="97">
        <f>F14+G14</f>
        <v>215627</v>
      </c>
      <c r="J14" s="91"/>
      <c r="K14" s="92"/>
      <c r="L14" s="92"/>
      <c r="M14" s="92"/>
      <c r="N14" s="92"/>
    </row>
    <row r="15" spans="2:14" ht="13.5" thickBot="1">
      <c r="B15" s="86" t="s">
        <v>8</v>
      </c>
      <c r="C15" s="87">
        <v>2312948</v>
      </c>
      <c r="D15" s="88">
        <f>SUM(D12:D14)</f>
        <v>324492</v>
      </c>
      <c r="E15" s="88">
        <f>C15+D15</f>
        <v>2637440</v>
      </c>
      <c r="F15" s="89">
        <v>2473092</v>
      </c>
      <c r="G15" s="88">
        <f>SUM(G12:G14)</f>
        <v>181813</v>
      </c>
      <c r="H15" s="90">
        <f>F15+G15</f>
        <v>2654905</v>
      </c>
      <c r="J15" s="93"/>
      <c r="K15" s="93"/>
      <c r="L15" s="93"/>
      <c r="M15" s="93"/>
      <c r="N15" s="93"/>
    </row>
    <row r="16" spans="2:14" s="93" customFormat="1" ht="13.5" thickBot="1">
      <c r="B16" s="91"/>
      <c r="C16" s="92"/>
      <c r="D16" s="92"/>
      <c r="E16" s="92"/>
      <c r="F16" s="92"/>
      <c r="G16" s="92"/>
      <c r="H16" s="92"/>
      <c r="J16" s="59"/>
      <c r="K16" s="59"/>
      <c r="L16" s="59"/>
      <c r="M16" s="59"/>
      <c r="N16" s="59"/>
    </row>
    <row r="17" spans="2:8" ht="27" thickBot="1">
      <c r="B17" s="98" t="s">
        <v>66</v>
      </c>
      <c r="C17" s="99">
        <v>42369</v>
      </c>
      <c r="D17" s="62"/>
      <c r="E17" s="62"/>
      <c r="F17" s="64">
        <v>42735</v>
      </c>
      <c r="G17" s="62"/>
      <c r="H17" s="62"/>
    </row>
    <row r="18" spans="2:8" ht="12.75">
      <c r="B18" s="100" t="s">
        <v>63</v>
      </c>
      <c r="C18" s="101">
        <v>747602</v>
      </c>
      <c r="D18" s="67"/>
      <c r="E18" s="67"/>
      <c r="F18" s="102">
        <v>841414</v>
      </c>
      <c r="G18" s="67"/>
      <c r="H18" s="67"/>
    </row>
    <row r="19" spans="2:8" ht="12.75">
      <c r="B19" s="103" t="s">
        <v>64</v>
      </c>
      <c r="C19" s="104">
        <v>576035</v>
      </c>
      <c r="D19" s="74"/>
      <c r="E19" s="74"/>
      <c r="F19" s="105">
        <v>661945</v>
      </c>
      <c r="G19" s="74"/>
      <c r="H19" s="74"/>
    </row>
    <row r="20" spans="2:8" ht="13.5" thickBot="1">
      <c r="B20" s="106" t="s">
        <v>65</v>
      </c>
      <c r="C20" s="107">
        <v>140717</v>
      </c>
      <c r="D20" s="108"/>
      <c r="E20" s="108"/>
      <c r="F20" s="109">
        <v>162727</v>
      </c>
      <c r="G20" s="108"/>
      <c r="H20" s="108"/>
    </row>
    <row r="21" spans="2:8" ht="13.5" thickBot="1">
      <c r="B21" s="110" t="s">
        <v>8</v>
      </c>
      <c r="C21" s="111">
        <v>1464354</v>
      </c>
      <c r="D21" s="88">
        <f>SUM(D18:D20)</f>
        <v>0</v>
      </c>
      <c r="E21" s="88"/>
      <c r="F21" s="90">
        <v>1666086</v>
      </c>
      <c r="G21" s="88"/>
      <c r="H21" s="88"/>
    </row>
  </sheetData>
  <sheetProtection/>
  <mergeCells count="9">
    <mergeCell ref="B10:B11"/>
    <mergeCell ref="C10:E10"/>
    <mergeCell ref="F10:H10"/>
    <mergeCell ref="J3:J4"/>
    <mergeCell ref="M3:N3"/>
    <mergeCell ref="K3:L3"/>
    <mergeCell ref="B3:B4"/>
    <mergeCell ref="C3:E3"/>
    <mergeCell ref="F3:H3"/>
  </mergeCells>
  <printOptions/>
  <pageMargins left="0.7" right="0.7" top="0.75" bottom="0.75" header="0.3" footer="0.3"/>
  <pageSetup horizontalDpi="300" verticalDpi="300" orientation="portrait" r:id="rId1"/>
  <headerFooter>
    <oddHeader>&amp;C 
</oddHeader>
    <oddFooter>&amp;C 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emukiza@bnr.rw</dc:creator>
  <cp:keywords/>
  <dc:description/>
  <cp:lastModifiedBy>Kayibanda, Rita</cp:lastModifiedBy>
  <cp:lastPrinted>2021-04-20T09:17:22Z</cp:lastPrinted>
  <dcterms:created xsi:type="dcterms:W3CDTF">2014-07-23T15:06:54Z</dcterms:created>
  <dcterms:modified xsi:type="dcterms:W3CDTF">2023-11-01T08:15:50Z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2fd0f130-fa65-4c6c-8381-1a6d2eceb908</vt:lpwstr>
  </property>
  <property fmtid="{D5CDD505-2E9C-101B-9397-08002B2CF9AE}" pid="3" name="Classification">
    <vt:lpwstr>PUBLIC</vt:lpwstr>
  </property>
</Properties>
</file>